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howInkAnnotation="0" codeName="ThisWorkbook" autoCompressPictures="0" defaultThemeVersion="166925"/>
  <mc:AlternateContent xmlns:mc="http://schemas.openxmlformats.org/markup-compatibility/2006">
    <mc:Choice Requires="x15">
      <x15ac:absPath xmlns:x15ac="http://schemas.microsoft.com/office/spreadsheetml/2010/11/ac" url="https://wellforceinc-my.sharepoint.com/personal/sharon_phares_tuftsmedicalcenter_org/Documents/Documents/Cell and Gene Therapy/CGT List for Toolkit/"/>
    </mc:Choice>
  </mc:AlternateContent>
  <xr:revisionPtr revIDLastSave="27" documentId="8_{35A59DB3-0281-4E1D-91FB-D3AD82F88E3A}" xr6:coauthVersionLast="47" xr6:coauthVersionMax="47" xr10:uidLastSave="{9302F6A7-155B-4B3E-9B88-08DDAAE3E336}"/>
  <workbookProtection lockStructure="1"/>
  <bookViews>
    <workbookView xWindow="-120" yWindow="-120" windowWidth="29040" windowHeight="15840" activeTab="1" xr2:uid="{00000000-000D-0000-FFFF-FFFF00000000}"/>
  </bookViews>
  <sheets>
    <sheet name="Terms of Use" sheetId="37" r:id="rId1"/>
    <sheet name="Instructions" sheetId="36" r:id="rId2"/>
    <sheet name="Pipeline Estimator Tool" sheetId="27" r:id="rId3"/>
    <sheet name="Hidden Pipeline Data" sheetId="38" state="hidden" r:id="rId4"/>
    <sheet name="Hidden Drop Down Lists" sheetId="3" state="hidden" r:id="rId5"/>
    <sheet name="Hidden Logic page" sheetId="23" state="hidden" r:id="rId6"/>
  </sheets>
  <definedNames>
    <definedName name="delta">#REF!</definedName>
    <definedName name="drop1">#REF!</definedName>
    <definedName name="drop10">#REF!</definedName>
    <definedName name="drop11">#REF!</definedName>
    <definedName name="drop2">#REF!</definedName>
    <definedName name="drop3">#REF!</definedName>
    <definedName name="drop4">#REF!</definedName>
    <definedName name="drop5">#REF!</definedName>
    <definedName name="drop6">#REF!</definedName>
    <definedName name="drop7">#REF!</definedName>
    <definedName name="drop8">#REF!</definedName>
    <definedName name="drop9">#REF!</definedName>
    <definedName name="_xlnm.Print_Area" localSheetId="1">Instructions!$A$3:$O$177</definedName>
    <definedName name="_xlnm.Print_Area" localSheetId="2">'Pipeline Estimator Tool'!$A$1:$O$63</definedName>
  </definedNames>
  <calcPr calcId="191029" iterate="1" iterateCount="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2" i="3" l="1"/>
  <c r="C30" i="3" l="1"/>
  <c r="A32" i="27"/>
  <c r="A31" i="27"/>
  <c r="A30" i="27"/>
  <c r="B29" i="27"/>
  <c r="A27" i="27"/>
  <c r="C32" i="3"/>
  <c r="B27" i="27" s="1"/>
  <c r="B32" i="3"/>
  <c r="C2" i="38"/>
  <c r="D2" i="38" s="1"/>
  <c r="E2" i="38" s="1"/>
  <c r="F2" i="38" s="1"/>
  <c r="G2" i="38" s="1"/>
  <c r="H2" i="38" s="1"/>
  <c r="I2" i="38" s="1"/>
  <c r="J2" i="38" s="1"/>
  <c r="K2" i="38" s="1"/>
  <c r="L2" i="38" s="1"/>
  <c r="M2" i="38" s="1"/>
  <c r="N2" i="38" s="1"/>
  <c r="O2" i="38" s="1"/>
  <c r="R34" i="23"/>
  <c r="R33" i="23"/>
  <c r="R32" i="23"/>
  <c r="R15" i="23"/>
  <c r="R14" i="23"/>
  <c r="R13" i="23"/>
  <c r="P17" i="23"/>
  <c r="E21" i="23" s="1"/>
  <c r="R12" i="23"/>
  <c r="O17" i="23" s="1"/>
  <c r="R11" i="23"/>
  <c r="N17" i="23"/>
  <c r="E19" i="23" s="1"/>
  <c r="B52" i="27" l="1"/>
  <c r="B30" i="27"/>
  <c r="R31" i="23"/>
  <c r="P36" i="23" s="1"/>
  <c r="E32" i="23" s="1"/>
  <c r="B32" i="27"/>
  <c r="C29" i="27"/>
  <c r="C30" i="27" s="1"/>
  <c r="R30" i="23"/>
  <c r="O36" i="23" s="1"/>
  <c r="E31" i="23" s="1"/>
  <c r="E20" i="23"/>
  <c r="B31" i="27"/>
  <c r="R29" i="23"/>
  <c r="N36" i="23" s="1"/>
  <c r="E30" i="23" s="1"/>
  <c r="B53" i="27" l="1"/>
  <c r="B54" i="27" s="1"/>
  <c r="C32" i="27"/>
  <c r="C31" i="27"/>
  <c r="C52" i="27"/>
  <c r="D29" i="27"/>
  <c r="D32" i="27" s="1"/>
  <c r="C53" i="27" l="1"/>
  <c r="C54" i="27" s="1"/>
  <c r="D31" i="27"/>
  <c r="D30" i="27"/>
  <c r="E29" i="27"/>
  <c r="E32" i="27" s="1"/>
  <c r="D52" i="27"/>
  <c r="D53" i="27" l="1"/>
  <c r="D54" i="27" s="1"/>
  <c r="F29" i="27"/>
  <c r="F32" i="27" s="1"/>
  <c r="E31" i="27"/>
  <c r="E30" i="27"/>
  <c r="E52" i="27"/>
  <c r="E53" i="27" l="1"/>
  <c r="E54" i="27" s="1"/>
  <c r="G29" i="27"/>
  <c r="H29" i="27" s="1"/>
  <c r="F30" i="27"/>
  <c r="F31" i="27"/>
  <c r="F52" i="27"/>
  <c r="F53" i="27" l="1"/>
  <c r="F54" i="27" s="1"/>
  <c r="G30" i="27"/>
  <c r="G52" i="27"/>
  <c r="G32" i="27"/>
  <c r="G31" i="27"/>
  <c r="H52" i="27"/>
  <c r="H31" i="27"/>
  <c r="H30" i="27"/>
  <c r="I29" i="27"/>
  <c r="H32" i="27"/>
  <c r="H53" i="27" l="1"/>
  <c r="H54" i="27" s="1"/>
  <c r="G53" i="27"/>
  <c r="G54" i="27" s="1"/>
  <c r="I30" i="27"/>
  <c r="I31" i="27"/>
  <c r="J29" i="27"/>
  <c r="I32" i="27"/>
  <c r="I52" i="27"/>
  <c r="I53" i="27" l="1"/>
  <c r="I54" i="27" s="1"/>
  <c r="J32" i="27"/>
  <c r="J30" i="27"/>
  <c r="K29" i="27"/>
  <c r="J31" i="27"/>
  <c r="J52" i="27"/>
  <c r="J53" i="27" l="1"/>
  <c r="J54" i="27" s="1"/>
  <c r="K32" i="27"/>
  <c r="K30" i="27"/>
  <c r="K31" i="27"/>
  <c r="K53" i="27" s="1"/>
  <c r="K52" i="27"/>
  <c r="K54" i="27" l="1"/>
</calcChain>
</file>

<file path=xl/sharedStrings.xml><?xml version="1.0" encoding="utf-8"?>
<sst xmlns="http://schemas.openxmlformats.org/spreadsheetml/2006/main" count="532" uniqueCount="419">
  <si>
    <t>Inpatient</t>
  </si>
  <si>
    <t>Managed Medicaid</t>
  </si>
  <si>
    <t>Y</t>
  </si>
  <si>
    <t>N</t>
  </si>
  <si>
    <t>Self-insured Employer</t>
  </si>
  <si>
    <t>Payer Type</t>
  </si>
  <si>
    <t>&gt;1 year</t>
  </si>
  <si>
    <t>Precision Financing Solutions</t>
  </si>
  <si>
    <t>Y/N Responses</t>
  </si>
  <si>
    <t>Type of therapy</t>
  </si>
  <si>
    <t>Term</t>
  </si>
  <si>
    <t>&lt;=1 year</t>
  </si>
  <si>
    <t>Outpatient Physician Administered</t>
  </si>
  <si>
    <t>Solution Prioritization Tool</t>
  </si>
  <si>
    <t>Patient Estimates Tool</t>
  </si>
  <si>
    <t>PMPM</t>
  </si>
  <si>
    <t>Yes/No Responses</t>
  </si>
  <si>
    <t>Yes</t>
  </si>
  <si>
    <t>No</t>
  </si>
  <si>
    <t>Known/Estimated</t>
  </si>
  <si>
    <t>Known</t>
  </si>
  <si>
    <t>Estimated</t>
  </si>
  <si>
    <t>Portfolio Context - Durable</t>
  </si>
  <si>
    <t>Portfolio Graphing Choice</t>
  </si>
  <si>
    <t>Single Patient</t>
  </si>
  <si>
    <t>None</t>
  </si>
  <si>
    <t>X Products</t>
  </si>
  <si>
    <t>FoCUS Pipeline</t>
  </si>
  <si>
    <t>Total Dollars</t>
  </si>
  <si>
    <t>Graphing Choice</t>
  </si>
  <si>
    <t>Exp Outcomes</t>
  </si>
  <si>
    <t>Medicare Advantage</t>
  </si>
  <si>
    <t>Medicare FFS</t>
  </si>
  <si>
    <t>Medicaid FFS</t>
  </si>
  <si>
    <t>Plan Type</t>
  </si>
  <si>
    <t>Commercial Insurer/MCO</t>
  </si>
  <si>
    <t>Rebates</t>
  </si>
  <si>
    <t>Prospective Payments</t>
  </si>
  <si>
    <t>Rebates vs. Prospective Payments</t>
  </si>
  <si>
    <t>Question Set 1</t>
  </si>
  <si>
    <t>Logic Table 1</t>
  </si>
  <si>
    <t>(Answers)</t>
  </si>
  <si>
    <t>1) Blah, blah, blah</t>
  </si>
  <si>
    <t>2)</t>
  </si>
  <si>
    <t>Opt 1</t>
  </si>
  <si>
    <t>Opt 2</t>
  </si>
  <si>
    <t>Opt 3</t>
  </si>
  <si>
    <t>3)</t>
  </si>
  <si>
    <t>4)</t>
  </si>
  <si>
    <t>5)</t>
  </si>
  <si>
    <t>Answers</t>
  </si>
  <si>
    <t>&lt;-- Q1</t>
  </si>
  <si>
    <t>&lt;-- Q2</t>
  </si>
  <si>
    <t>&lt;-- Q3</t>
  </si>
  <si>
    <t>USER INPUT</t>
  </si>
  <si>
    <t>&lt;-- Q4</t>
  </si>
  <si>
    <t>&lt;-- Q5</t>
  </si>
  <si>
    <t>MET? --&gt;</t>
  </si>
  <si>
    <t>Question Set 2</t>
  </si>
  <si>
    <t>--&gt;</t>
  </si>
  <si>
    <t>ANSWERS ARE NUMERIC EQUIV OF INPUT.</t>
  </si>
  <si>
    <t>LOGIC TABLE DETERMINES IF RELEVANT CONDITIONS MET.</t>
  </si>
  <si>
    <t>QUESTIONS 6-8 APPEAR BASED ON WHETHER OPT 1-3 ARE TRUE</t>
  </si>
  <si>
    <t>Opt 4</t>
  </si>
  <si>
    <t>Opt 5</t>
  </si>
  <si>
    <t>Opt 6</t>
  </si>
  <si>
    <t>Logic Table 2</t>
  </si>
  <si>
    <t>Output Options</t>
  </si>
  <si>
    <t>&lt;--Opt 1 from above</t>
  </si>
  <si>
    <t>&lt;--Opt 2 from above</t>
  </si>
  <si>
    <t>&lt;--Opt 3 from above</t>
  </si>
  <si>
    <t>&lt;-- Q6</t>
  </si>
  <si>
    <t>&lt;-- Q7</t>
  </si>
  <si>
    <t>OUTPUTS APPEAR BASED ON WHETHER OPT 4-6 ARE TRUE</t>
  </si>
  <si>
    <t>&lt;-- Q8</t>
  </si>
  <si>
    <t>MET--&gt;</t>
  </si>
  <si>
    <t>Your numbers as output</t>
  </si>
  <si>
    <t>Users are advised to perform more detailed modeling on your own as appropriate. Assumptions used herein may not reflect your particular circumstances. Please check any user-entered information for accuracy.</t>
  </si>
  <si>
    <t>Your Plan Size (# of members)</t>
  </si>
  <si>
    <t>Projected Pipeline - plan specific impact ($millions)</t>
  </si>
  <si>
    <t>Pipeline Estimator Tool</t>
  </si>
  <si>
    <t>This workbook is intended to provide a simple model that helps users see how the pipeline of durable cell and gene therapies may impact their business and what risks they may need to consider and counter.</t>
  </si>
  <si>
    <t>Projected Pipeline - plan specific PMPM</t>
  </si>
  <si>
    <t>PAYING FOR CURES TOOLKIT AND MATERIALS</t>
  </si>
  <si>
    <t>Terms and conditions</t>
  </si>
  <si>
    <t>PLEASE READ THESE TERMS OF USE BEFORE USING THESE MATERIALS.</t>
  </si>
  <si>
    <t>Acceptance of the Terms of Use</t>
  </si>
  <si>
    <t xml:space="preserve">Welcome to the website and materials of the Financing and reimbursement of Cures in the US (“FoCUS”) Project, a part of the </t>
  </si>
  <si>
    <t xml:space="preserve">Please read these Terms of Use carefully before you start to use the Site and these materials. By using the Site and materials, you hereby accept these Terms of Use. </t>
  </si>
  <si>
    <t>If you do not agree to these Terms of Use, you should not visit the Site or use these materials.</t>
  </si>
  <si>
    <t>Changes to the Terms of Use</t>
  </si>
  <si>
    <t>immediately upon posting them to the Site. Your use of the Site or materials after such changes have been posted shall constitute your acceptance of the revised Terms of Use.</t>
  </si>
  <si>
    <t>Accessing this Site</t>
  </si>
  <si>
    <t>1. By using this Site or materials, you represent and warrant that you are 13 years or older. If you are under the age of 13 years, you agree not to visit the Site or use these materials.</t>
  </si>
  <si>
    <t xml:space="preserve">displays, downloadable spreadsheets, images, video and audio, and the design, selection and arrangement thereof) or other content we provide on the Site (collectively, “Content”), </t>
  </si>
  <si>
    <t>4. You are responsible for making all arrangements necessary for you to have access to the Site.</t>
  </si>
  <si>
    <t xml:space="preserve">5. You are responsible for ensuring that all persons who access the Site through your Internet connection or utilize the materials gained through your internet connection are </t>
  </si>
  <si>
    <t>aware of these Terms of Use, and that they comply with them.</t>
  </si>
  <si>
    <t>Prohibited Uses</t>
  </si>
  <si>
    <t>1. You may use the Site only for lawful purposes and in accordance with these Terms of Use. You agree not to use the Site or the Content:</t>
  </si>
  <si>
    <t xml:space="preserve">1. For commercial purposes, including that you may not reproduce, sell or exploit for any commercial purposes any part of the Site, access to the Site, use of the Site or any </t>
  </si>
  <si>
    <t>Content available through the Site;</t>
  </si>
  <si>
    <t>2. In any way that violates any applicable federal, state, local and international law or regulation; and</t>
  </si>
  <si>
    <t>expose them to liability (for example, in a manner that that could disable, overburden, damage, or impair the Site).</t>
  </si>
  <si>
    <t>2. Additionally, you agree not to:</t>
  </si>
  <si>
    <t>1. Use any robot, spider or other automatic device, process or means to access the Site for any purpose, including to monitor or impermissibly copy any of the material on the Site;</t>
  </si>
  <si>
    <t>3. Introduce any viruses, Trojan horses, worms, logic bombs or other material which is malicious or technologically harmful;</t>
  </si>
  <si>
    <t xml:space="preserve">4. Attempt to gain unauthorized access to, interfere with, damage or disrupt any part of the Site, the server on which any part of the Site is stored or any server, computer </t>
  </si>
  <si>
    <t>or database connected to the Site;</t>
  </si>
  <si>
    <t>5. Attack the Site via a denial-of-service attack or a distributed denial-of-service attack; or</t>
  </si>
  <si>
    <t>7. Otherwise attempt to interfere with the proper working of the Site.</t>
  </si>
  <si>
    <t>Intellectual Property Rights</t>
  </si>
  <si>
    <t xml:space="preserve">2. Some of the Content on the Site is not available for downloading, such as our copyrighted works that we do not distribute or works of others that we are not permitted to distribute. </t>
  </si>
  <si>
    <t>Selected content may be downloaded by you pursuant to these Terms of Use (“Available Content”) where expressly indicated. Users are granted a limited, revocable, nonexclusive,</t>
  </si>
  <si>
    <t xml:space="preserve"> nontransferable license to use Available Content conditioned on your continued compliance with these Terms of Use. YOU MAY REVIEW, DOWNLOAD, COPY, DISTRIBUTE </t>
  </si>
  <si>
    <t xml:space="preserve">AND USE THE AVAILABLE CONTENT SOLELY FOR THE PURPOSE OF GENERAL INFORMATION GATHERING AND/OR RESEARCH PURPOSES , PROVIDED THAT YOU </t>
  </si>
  <si>
    <t xml:space="preserve">COPYRIGHT NOTICES. YOU MAY NOT SELL THE AVAILABLE CONTENT OR OTHERWISE DISTRIBUTE IT FOR A FEE. YOU WILL NOT USE OR </t>
  </si>
  <si>
    <t xml:space="preserve">DISCLOSE THE AVAILABLE CONTENT TO ANY THIRD PARTIES EXCEPT AS EXPRESSLY PERMITTED BY THESE TERMS OF USE. ANY </t>
  </si>
  <si>
    <t>4. You must not:</t>
  </si>
  <si>
    <t>2. Use any illustrations, photographs, video or audio sequences or any graphics separately from the accompanying text; or</t>
  </si>
  <si>
    <t>3. Delete or alter any copyright, trademark or other proprietary rights notices from any Content.</t>
  </si>
  <si>
    <t>Terms of Use is a breach of these Terms of Use and may violate copyright, trademark and other laws.</t>
  </si>
  <si>
    <t>Disclaimer of Warranties</t>
  </si>
  <si>
    <t xml:space="preserve">1. The Site and the Content is made available solely for general informational purposes. THE SITE, THE CONTENT AND ANY INFORMATION OBTAINED THROUGH USE OF THE SITE </t>
  </si>
  <si>
    <t xml:space="preserve">AND THE CONTENT ARE PROVIDED ON AN “AS IS” AND “AS AVAILABLE” BASIS, WITHOUT ANY WARRANTIES OF ANY KIND, EITHER EXPRESS OR IMPLIED, STATUTORY OR </t>
  </si>
  <si>
    <t xml:space="preserve">OTHERWISE, INCLUDING BUT NOT LIMITED TO ANY WARRANTIES OF MERCHANTABILITY, NON-INFRINGEMENT AND FITNESS FOR A PARTICULAR PURPOSE. WITHOUT LIMITING </t>
  </si>
  <si>
    <t xml:space="preserve">THAT THE INFORMATION THAT MAY BE OBTAINED FROM THE USE OF THE SITE OR CONTENT WILL BE ACCURATE, RELIABLE OR OTHEREWISE MEET YOUR NEEDS OR </t>
  </si>
  <si>
    <t xml:space="preserve">EXPECTATIONS. YOUR USE OF, AND RELIANCE ON, THE SITE, THE CONTENT, AND/OR ANY INFORMATION BASED UPON USE OF THE CONTENT IS STRICTLY AT YOUR OWN RISK. </t>
  </si>
  <si>
    <t>own decision-making.</t>
  </si>
  <si>
    <t xml:space="preserve">WILL NOT BE LIABLE FOR ANY LOSS OR DAMAGE CAUSED BY A DISTRIBUTED DENIAL-OF-SERVICE ATTACK, VIRUSES OR OTHER TECHNOLOGICALLY HARMFUL MATERIAL THAT MAY </t>
  </si>
  <si>
    <t xml:space="preserve">INFECT YOUR COMPUTER EQUIPMENT, COMPUTER PROGRAMS, DATA OR OTHER PROPRIETARY MATERIAL DUE TO YOUR USE OF THE SITE, THE CONTENT, YOUR DOWNLOADING </t>
  </si>
  <si>
    <t>OF ANY AVAILABLE CONTENT, OR YOUR USE OF ANY WEBSITE LINKED TO THE SITE.</t>
  </si>
  <si>
    <t>2. THE FOREGOING DOES NOT AFFECT ANY WARRANTIES WHICH CANNOT BE EXCLUDED OR LIMITED UNDER APPLICABLE LAW.</t>
  </si>
  <si>
    <t>Limitation on Liability</t>
  </si>
  <si>
    <t xml:space="preserve"> ASSIGNS BE LIABLE FOR DAMAGES OF ANY KIND, UNDER ANY LEGAL THEORY, ARISING OUT OF OR IN CONNECTION WITH YOUR USE, OR INABILITY TO USE, THE SITE, THE CONTENT, </t>
  </si>
  <si>
    <t xml:space="preserve">ANY WEBSITES LINKED TO THE SITE OR CONTENT OR ANY INFORMATION OBTAINED THROUGH THE SITE, CONTENT OR SUCH THIRD PARTY WEBSITES, INCLUDING ANY DIRECT, INDIRECT, </t>
  </si>
  <si>
    <t xml:space="preserve">SPECIAL, INCIDENTAL, CONSEQUENTIAL OR PUNITIVE DAMAGES, WHICH MAY INCLUDE  BUT NOT BE LIMITED TO, PERSONAL INJURY, LOST PROFITS, LOSS OF BUSINESS OR ANTICIPATED </t>
  </si>
  <si>
    <t>SAVINGS, LOSS OF GOODWILL, LOSS OF DATA, AND WHETHER CAUSED BY TORT (INCLUDING NEGLIGENCE), BREACH OF CONTRACT OR OTHERWISE, EVEN IF FORSEEABLE.</t>
  </si>
  <si>
    <t>2. THE FOREGOING DOES NOT AFFECT ANY LIABILITY WHICH CANNOT BE EXCLUDED OR LIMITED UNDER APPLICABLE LAW.</t>
  </si>
  <si>
    <t>Indemnification</t>
  </si>
  <si>
    <t>successors, heirs and assigns (collectively, the “Indemnified Parties”) from and against any and all losses and liabilities, including, without limitation, reasonable</t>
  </si>
  <si>
    <t xml:space="preserve"> attorneys’ fees incurred by the Indemnified Parties in connection with any claim arising from or related to your breach of these Terms of Use, your use of the Site and the </t>
  </si>
  <si>
    <t>Content and your use of any information obtained through use of the Site and Content. You shall cooperate as fully as reasonably required in the defense of any such claim.</t>
  </si>
  <si>
    <t>Monitoring and Enforcement</t>
  </si>
  <si>
    <t>(b) terminate your access to all or part of the Site for any or no reason, including without limitation any violation of these Terms of Use.</t>
  </si>
  <si>
    <t>Site Assistance</t>
  </si>
  <si>
    <t>under no obligation to fix or correct any technical issue.</t>
  </si>
  <si>
    <t>Links from the Site</t>
  </si>
  <si>
    <t xml:space="preserve">over the contents of those websites or resources and accepts no responsibility for them or for any loss or damage that may arise from your use of them. If you </t>
  </si>
  <si>
    <t>decide to access any of the third party websites linked to the Site, you do so entirely at your own risk and subject to the terms and conditions of use for such websites.</t>
  </si>
  <si>
    <t>Geographic Restrictions</t>
  </si>
  <si>
    <t>Dispute Resolution By Arbitration</t>
  </si>
  <si>
    <t xml:space="preserve">The parties shall settle any dispute arising out of or relating to these Terms of Use or your use of the Site by arbitration in the city of Boston, Massachusetts, USA, </t>
  </si>
  <si>
    <t>in accordance with the applicable rules of the American Arbitration Association then in effect. The arbitrator’s award shall be final and may be confirmed by the</t>
  </si>
  <si>
    <t xml:space="preserve"> judgment of a state or federal court in the city of Boston, Massachusetts.</t>
  </si>
  <si>
    <t>Governing Law</t>
  </si>
  <si>
    <t>These Terms of Use and all disputes or controversies arising out of or relating to these Terms of Use and your use of the Site and the Content shall be governed</t>
  </si>
  <si>
    <t xml:space="preserve"> by, and construed in accordance with, the laws of the Commonwealth of Massachusetts without regard to conflicts of law provisions that would require </t>
  </si>
  <si>
    <t>the laws of another jurisdiction to apply.</t>
  </si>
  <si>
    <t>Limitation on Time to File Claims</t>
  </si>
  <si>
    <t xml:space="preserve">ANY CAUSE OF ACTION OR CLAIM YOU MAY HAVE ARISING OUT OF OR RELATING TO THESE TERMS OF USE OR THE SITE OR THE CONTENT MUST </t>
  </si>
  <si>
    <t>BE COMMENCED WITHIN ONE (1) YEAR AFTER THE CAUSE OF ACTION ACCRUES, OTHERWISE SUCH CAUSE OF ACTION OR CLAIM IS PERMANENTLY BARRED.</t>
  </si>
  <si>
    <t>Waiver and Severability</t>
  </si>
  <si>
    <t xml:space="preserve">is held by a court of competent jurisdiction to be invalid, illegal or unenforceable for any reason, such provision shall be eliminated or limited to the minimum </t>
  </si>
  <si>
    <t>extent such that the remaining provisions of the Terms of Use will continue in full force and effect.</t>
  </si>
  <si>
    <t>Comments and Concerns</t>
  </si>
  <si>
    <t>Thank you for visiting our Site.</t>
  </si>
  <si>
    <t>Overview</t>
  </si>
  <si>
    <t xml:space="preserve">Users are advised to perform more detailed modeling on your own as appropriate. Assumptions used herein </t>
  </si>
  <si>
    <t>may not reflect your particular circumstances. Please check any user-entered information for accuracy.</t>
  </si>
  <si>
    <t xml:space="preserve">We have structured this resource around a set of key questions.  </t>
  </si>
  <si>
    <t xml:space="preserve">This section is intended to help individuals developing an overall strategy for addressing the aggregate effect of </t>
  </si>
  <si>
    <t xml:space="preserve">durable, curative cell and gene therapies on their organizations.  It provides a concise resource for payer organizations </t>
  </si>
  <si>
    <t xml:space="preserve">wishing to think through the implications of the pipeline of durable therapies for their businesses and potential </t>
  </si>
  <si>
    <t>precision financing solutions, processes and capabilities they may need to put in place to prepare for patient</t>
  </si>
  <si>
    <t>access to these therapies</t>
  </si>
  <si>
    <t>This workbook consists of two pages:</t>
  </si>
  <si>
    <r>
      <t xml:space="preserve">1.  The </t>
    </r>
    <r>
      <rPr>
        <b/>
        <sz val="11"/>
        <color theme="1"/>
        <rFont val="Calibri"/>
        <family val="2"/>
        <scheme val="minor"/>
      </rPr>
      <t>Pipeline Estimator Tool</t>
    </r>
    <r>
      <rPr>
        <sz val="11"/>
        <color theme="1"/>
        <rFont val="Calibri"/>
        <family val="2"/>
        <scheme val="minor"/>
      </rPr>
      <t xml:space="preserve"> estimates the direct cost of durable therapies to your plan based on your plan size, </t>
    </r>
  </si>
  <si>
    <t xml:space="preserve">which you can further customize.  Based on your plan size, the Pipeline Estimator Tool also calculates your </t>
  </si>
  <si>
    <t>per-member-per-month (PMPM) spend associated with estimated durable cell and gene therapy expenditure.</t>
  </si>
  <si>
    <r>
      <t xml:space="preserve">2.  The </t>
    </r>
    <r>
      <rPr>
        <b/>
        <sz val="11"/>
        <color theme="1"/>
        <rFont val="Calibri"/>
        <family val="2"/>
        <scheme val="minor"/>
      </rPr>
      <t>Solution Prioritization Tool </t>
    </r>
    <r>
      <rPr>
        <sz val="11"/>
        <color theme="1"/>
        <rFont val="Calibri"/>
        <family val="2"/>
        <scheme val="minor"/>
      </rPr>
      <t>builds on the insights from the expected financial therapy impact</t>
    </r>
  </si>
  <si>
    <t>and on your organization’s preferences, to help you assess precision financing needs for your organization.  </t>
  </si>
  <si>
    <t>Based on the choices you make, the Solution Prioritization Tool suggests preferred financing solutions.</t>
  </si>
  <si>
    <t xml:space="preserve">In addition, this is a new area of science, few products are on the market and those that are, are relatively newly available.  There is little experience with the extent and speed of patient and physician adoption of these products.  </t>
  </si>
  <si>
    <t xml:space="preserve">Each medicine will need to be evaluated on its own merits.  Therefore, the estimates should be used to inform strategic assessments, but with appropriate appreciation for the challenges of estimating a new-to-world class of therapies. </t>
  </si>
  <si>
    <t>We advise each organization to conduct its own more detailed operational analysis before making final decisions.</t>
  </si>
  <si>
    <t>particularly during the later years.</t>
  </si>
  <si>
    <r>
      <t xml:space="preserve">The numbers above are </t>
    </r>
    <r>
      <rPr>
        <i/>
        <sz val="11"/>
        <rFont val="Franklin Gothic Book"/>
        <family val="2"/>
      </rPr>
      <t>estimates and solely focused on therapeutic purchase costs</t>
    </r>
    <r>
      <rPr>
        <sz val="11"/>
        <rFont val="Franklin Gothic Book"/>
        <family val="2"/>
      </rPr>
      <t xml:space="preserve">.  They look at durable gene and cell therapies as an incremental category.  They do not take into account any additional treatment costs beyond the </t>
    </r>
  </si>
  <si>
    <t>direct costs of the durable therapy portfolio or any cost-offsets from existing therapies that might be displaced by these treatments or downstream medical, pharmaceutical or other benefits or cost savings that might be achieved</t>
  </si>
  <si>
    <t>- Provider reimbursement</t>
  </si>
  <si>
    <t>Note:  High Level Estimation Methodology</t>
  </si>
  <si>
    <t>Figure:  Schematic of Therapy Launch and Patient Number Estimation</t>
  </si>
  <si>
    <t>Below is a description of the methodology used to arrive at the pipeline estimates.</t>
  </si>
  <si>
    <t xml:space="preserve">durable, potentially curative therapies in the United States.  The figure below illustrates the basic </t>
  </si>
  <si>
    <t>methodology employed.</t>
  </si>
  <si>
    <t xml:space="preserve">To forecast the number of product launches, the team applied estimates of the time taken to progress through </t>
  </si>
  <si>
    <t xml:space="preserve">each level of trials, and probabilities of success (deﬁned as the probability that a product, on completing one </t>
  </si>
  <si>
    <t xml:space="preserve">level in the trials process, will initiate a trial at the next level) of each trials program.  Estimates of the duration </t>
  </si>
  <si>
    <t xml:space="preserve">Population incidence and prevalence data for non-oncology, gene therapy products were obtained through </t>
  </si>
  <si>
    <t xml:space="preserve">targeted searches of published and online literature on diseases for each disease for which a gene therapy is in </t>
  </si>
  <si>
    <t xml:space="preserve">our trials pipeline.  The team reviewed clinical trial study eligibility criteria carefully to derive as tight an estimate </t>
  </si>
  <si>
    <t xml:space="preserve">of the expected pool of treatment-eligible patients as possible.  Oncology data were obtained from the most </t>
  </si>
  <si>
    <t xml:space="preserve">recent SEER database. For our purposes we deﬁned the treatment-eligible population as those who would not </t>
  </si>
  <si>
    <t xml:space="preserve">survive 5 years after diagnosis. The most relevant therapies in this analysis are CAR-T and T-cell receptor </t>
  </si>
  <si>
    <t xml:space="preserve">therapies, which are most likely to be second-line and third-line treatments. Patients who survive longer than </t>
  </si>
  <si>
    <t xml:space="preserve">5 years have generally responded well to ﬁrst-line or second-line therapies. Those with relapsed or refractory </t>
  </si>
  <si>
    <t>disease represent the patient pool who might beneﬁt from CAR-T or T-cell receptor therapies. On average</t>
  </si>
  <si>
    <t>these are about 30% of those diagnosed, although for individual cancers, the proportions range from more</t>
  </si>
  <si>
    <t xml:space="preserve">than 90% (for lung or pancreatic cancer) to less than 10% (for prostate cancer). The implication is that the </t>
  </si>
  <si>
    <t>potentially treatable pool in oncology is entirely incident—there is no prevalence.</t>
  </si>
  <si>
    <t xml:space="preserve">In the case of approval, data on treatment-eligible incident and prevalent patient </t>
  </si>
  <si>
    <t xml:space="preserve">populations, together with projections of the penetration rate for the product, were used to estimate the </t>
  </si>
  <si>
    <t xml:space="preserve">potential number of patients on a year-by-year basis. </t>
  </si>
  <si>
    <t xml:space="preserve">Once launched, new products will have market penetration established on the basis of adoption, which </t>
  </si>
  <si>
    <t xml:space="preserve">comprises 2 factors: the maximum penetration rates achieved for incident cases, including the time taken to </t>
  </si>
  <si>
    <t xml:space="preserve">reach that ceiling, and the maximum proportion of prevalence cases to be “cleared,” and the time taken for </t>
  </si>
  <si>
    <t xml:space="preserve">that. In diseases with poor prognosis (e.g., aggressive cancers), there will be very little backlog because few </t>
  </si>
  <si>
    <t xml:space="preserve">patients survive. Many cell and gene therapies in development, however, are targeted at chronic conditions. </t>
  </si>
  <si>
    <t xml:space="preserve">Both uptake and clearance are expected to be lower than 100% because of factors such as other non–cell </t>
  </si>
  <si>
    <t xml:space="preserve">and gene therapy products in the market, payer-imposed access restrictions, or individual willingness to try </t>
  </si>
  <si>
    <t>new-to-world treatments relative to existing alternatives.</t>
  </si>
  <si>
    <t xml:space="preserve">Adoption and market penetration cannot be known reliably for some time for cell and gene therapies. In </t>
  </si>
  <si>
    <t xml:space="preserve">addition to insufﬁcient real-world data, historical data make a poor foundation for forming assumptions </t>
  </si>
  <si>
    <t xml:space="preserve">because they will not include cell and gene therapies. Our analyses were based on assumptions that are </t>
  </si>
  <si>
    <t xml:space="preserve">incident and prevalent cases reﬂect a decline based on access restrictions, patient deaths, or other </t>
  </si>
  <si>
    <t xml:space="preserve">factors that reduce eligibility. The explicit access restriction of all erstwhile eligible patients is a limit on </t>
  </si>
  <si>
    <t xml:space="preserve">access that reﬂects (1) access restrictions (e.g., by payers, but also clinician prescribing, etc.) and </t>
  </si>
  <si>
    <t>(2) likely narrowing of indications relative to what were broad indications listed in clinical trials databases.</t>
  </si>
  <si>
    <t xml:space="preserve">To derive potential total expenditures, estimated patient numbers were multiplied by estimated </t>
  </si>
  <si>
    <t>information as more gene therapies gain approval and are launched.</t>
  </si>
  <si>
    <t xml:space="preserve">Therapies were identified primarily by utilizing appropriate therapeutic classes and modalities as search </t>
  </si>
  <si>
    <t xml:space="preserve">criteria in the citeline™ Pharmaprojects™ database. Further therapies were found in the clinicaltrials.gov </t>
  </si>
  <si>
    <t xml:space="preserve">database using a combination of natural language processing and manual searches and extraction. </t>
  </si>
  <si>
    <t xml:space="preserve">Clinical trials registered on clinicaltrials.gov were identified where possible for all identified therapies. </t>
  </si>
  <si>
    <t xml:space="preserve">Only interventional trials with a known status and Phase were included. In addition to these therapies, </t>
  </si>
  <si>
    <t xml:space="preserve">a sample of gene therapies in advanced preclinical investigation was identified from the </t>
  </si>
  <si>
    <t>citeline™ Pharmaprojects™ database for inclusion in our analysis.</t>
  </si>
  <si>
    <t xml:space="preserve">Data were then ﬁltered for cell and gene therapy on the basis of the plasmid DNA, viral vectors, human gene </t>
  </si>
  <si>
    <t xml:space="preserve">editing technology, and patient-derived cellular gene therapy products. Qualifying therapies were those </t>
  </si>
  <si>
    <t xml:space="preserve">falling into the modalities below, and which produce or promise to produce durable effects beyond 18 </t>
  </si>
  <si>
    <t>months from treatment:</t>
  </si>
  <si>
    <t>- Gene replacement therapies both in vivo and ex vivo using viral vectors</t>
  </si>
  <si>
    <t>- T-cell receptors (TCRs) and immune cells engineered to incorporate chimeric antigen receptors (CARs)</t>
  </si>
  <si>
    <t>- Gene editing therapies:</t>
  </si>
  <si>
    <t>- Zinc finger nucleases (ZFNs)</t>
  </si>
  <si>
    <t>- Transcription activator-like effector nucleases (TALENs)</t>
  </si>
  <si>
    <t>- CRISPR-Cas9 (clustered regularly interspaced short palindromic repeats)</t>
  </si>
  <si>
    <t xml:space="preserve">- Long-acting DNA plasmids </t>
  </si>
  <si>
    <t xml:space="preserve">We excluded the following on the basis of focusing on durable, potentially curative therapies: siRNA </t>
  </si>
  <si>
    <t xml:space="preserve">therapies delivered naked, via liposomes, nanoparticles, or in bacteria; vaccines; mRNAs delivered </t>
  </si>
  <si>
    <t>via liposomes or nanoparticles; and oncolytic viruses.</t>
  </si>
  <si>
    <t xml:space="preserve">Two scoping decisions impact the estimates: </t>
  </si>
  <si>
    <t xml:space="preserve">- First, the decision to exclude clinical trials based in China for therapies developed by Chinese companies.  </t>
  </si>
  <si>
    <t xml:space="preserve">   We assumed these therapies were targeted for the Chinese market and have not included them.</t>
  </si>
  <si>
    <t xml:space="preserve">- Second, the impact of an ‘expanded snapshot’ of the clinical pipeline – including pre-clinical development </t>
  </si>
  <si>
    <t xml:space="preserve">   programs. Very accurate pipeline projection for therapies with no clinical history is impossible.  </t>
  </si>
  <si>
    <t>We have excluded these very early stage therapies.</t>
  </si>
  <si>
    <t>For use in the modeling process, the remaining data were characterized by product, indication, and disease</t>
  </si>
  <si>
    <t>group.  Each product-indication was modeled separately in an overall Monte-Carlo model.</t>
  </si>
  <si>
    <t xml:space="preserve">of the phases of clinical trials were obtained by examining samples of completed trials. Therapies from the </t>
  </si>
  <si>
    <t>target categories above make up too small a sample size to populate the model parameters for estimating</t>
  </si>
  <si>
    <t xml:space="preserve"> trial durations; therefore, a larger set of cell and gene therapies was used, still restricted to novel, </t>
  </si>
  <si>
    <t xml:space="preserve">dates of individual trials were extracted from the data; these were the basis for estimating trial </t>
  </si>
  <si>
    <t xml:space="preserve">durations by phase: Phase 1, Phase 2 (including Phase 1/2), and Phase 3 (including Phase 2/3). Trials that had </t>
  </si>
  <si>
    <t>not reached a conclusion (completed, terminated or withdrawn) were discarded. Phase-specific distribution</t>
  </si>
  <si>
    <t xml:space="preserve">functions were used to determine the probability of a trial completing (successfully or not) in each </t>
  </si>
  <si>
    <t>cycle of the model.   From these samples, completion curves were derived for each phase of trials,</t>
  </si>
  <si>
    <t xml:space="preserve">relating time taken to complete a trial to the number of trials taking that amount of time. These were used </t>
  </si>
  <si>
    <t xml:space="preserve">probabilistically to forecast whether an active trial would be completed in the current year of forecast.  </t>
  </si>
  <si>
    <t xml:space="preserve">The same data set of completed trials, broken down into 4 groups for the purposes of forecasting: </t>
  </si>
  <si>
    <t>hematological cancers, solid tumors, gene therapies for orphan diseases, and gene therapies for higher</t>
  </si>
  <si>
    <t>prevalence diseases, was used to derive probable success rates for each phase of trials.</t>
  </si>
  <si>
    <t xml:space="preserve">The highest development level that can be achieved is approval. </t>
  </si>
  <si>
    <t xml:space="preserve">Our model uses a Markov Chain Monte Carlo process; within each iteration of the model, each individual </t>
  </si>
  <si>
    <t>development program was forecast on a year-on-year basis. I.e., in any given cycle</t>
  </si>
  <si>
    <t>- If a trial is successfully concluded, a new trial at a higher level will be considered to have started</t>
  </si>
  <si>
    <t>- If a trial is unsuccessful, this terminates the development program</t>
  </si>
  <si>
    <t xml:space="preserve">For each development program the estimated year of approval, should it occur, is noted. Across all </t>
  </si>
  <si>
    <t xml:space="preserve">iterations the years of approval are summarized to provide probabilities that approval will be </t>
  </si>
  <si>
    <t xml:space="preserve">obtained in specific years (typically, our results are based on 100,000 iterations). </t>
  </si>
  <si>
    <t>Price Code</t>
  </si>
  <si>
    <t>Therapy Price</t>
  </si>
  <si>
    <t>General Population</t>
  </si>
  <si>
    <t>Medicare</t>
  </si>
  <si>
    <t>Medicaid</t>
  </si>
  <si>
    <t>Not Medicare or Medicaid</t>
  </si>
  <si>
    <t>Selected</t>
  </si>
  <si>
    <t>Code</t>
  </si>
  <si>
    <t>Population</t>
  </si>
  <si>
    <t>95th Percentile</t>
  </si>
  <si>
    <t>Mean</t>
  </si>
  <si>
    <t>5th Percentile</t>
  </si>
  <si>
    <t>Total Reimbursement</t>
  </si>
  <si>
    <t>Step 2: Ratio the selected population to your plan</t>
  </si>
  <si>
    <t>Data        collection</t>
  </si>
  <si>
    <t>Developer contract</t>
  </si>
  <si>
    <t>Clinical Coordination</t>
  </si>
  <si>
    <t>Patient      Mobility</t>
  </si>
  <si>
    <t>Provider Contracts</t>
  </si>
  <si>
    <t>Milestone based agreement (MBA)</t>
  </si>
  <si>
    <t>Multi-year milestone based agreement</t>
  </si>
  <si>
    <t>MBA with additional finance solution</t>
  </si>
  <si>
    <t>Warranty with additional finance solution</t>
  </si>
  <si>
    <t>Payment over time/installment payments</t>
  </si>
  <si>
    <t>Performance based annuity</t>
  </si>
  <si>
    <t>Subscription Model</t>
  </si>
  <si>
    <t>Performance based subscription model</t>
  </si>
  <si>
    <t>Stop-Loss / Reinsurance</t>
  </si>
  <si>
    <t>Stop-Loss / Reinsurance w/ MBA or Warranty</t>
  </si>
  <si>
    <t>Therapy specific risk pools</t>
  </si>
  <si>
    <t>Therapy specific risk pools w/ MBA or warranty</t>
  </si>
  <si>
    <r>
      <t xml:space="preserve">Please note:  </t>
    </r>
    <r>
      <rPr>
        <b/>
        <sz val="11"/>
        <rFont val="Calibri"/>
        <family val="2"/>
        <scheme val="minor"/>
      </rPr>
      <t>White</t>
    </r>
    <r>
      <rPr>
        <sz val="11"/>
        <rFont val="Calibri"/>
        <family val="2"/>
        <scheme val="minor"/>
      </rPr>
      <t xml:space="preserve"> cells are calculated cells and can not be changed - they have been password protected; </t>
    </r>
    <r>
      <rPr>
        <b/>
        <sz val="11"/>
        <rFont val="Calibri"/>
        <family val="2"/>
        <scheme val="minor"/>
      </rPr>
      <t xml:space="preserve">Green </t>
    </r>
    <r>
      <rPr>
        <sz val="11"/>
        <rFont val="Calibri"/>
        <family val="2"/>
        <scheme val="minor"/>
      </rPr>
      <t xml:space="preserve">cells require user input; </t>
    </r>
    <r>
      <rPr>
        <b/>
        <sz val="11"/>
        <rFont val="Calibri"/>
        <family val="2"/>
        <scheme val="minor"/>
      </rPr>
      <t>Orange</t>
    </r>
    <r>
      <rPr>
        <sz val="11"/>
        <rFont val="Calibri"/>
        <family val="2"/>
        <scheme val="minor"/>
      </rPr>
      <t xml:space="preserve"> cells are optional user-input cells to override selected calculated assumptions</t>
    </r>
  </si>
  <si>
    <t xml:space="preserve">The FoCUS team has developed detailed "best estimates" of the potential target patient populations associated with different therapy indications given clinical trial participant criteria through detailed literature review.  Prices for the products are based on current gene and cell therapy products in the market.  </t>
  </si>
  <si>
    <t xml:space="preserve">When you enter your plan size in terms of number of members in the green box below, the pipeline estimator tool will use that number as a share of selected pipeline (Medicare, Medicaid, Non Medicare or Medicaid, General Population) to estimate the numbers  that will apply to your plan. </t>
  </si>
  <si>
    <t xml:space="preserve">95th  percentile = value at which 5% of Monte Carlo analysis outcomes exceeded these results. </t>
  </si>
  <si>
    <t>5th percentile = value at which 5% of Monte Carlo analysis outcomes are below these results</t>
  </si>
  <si>
    <t>Step 1. Define pipeline for comparison</t>
  </si>
  <si>
    <t>Pipeline Estimator Line of Business</t>
  </si>
  <si>
    <t>Plan specific estimated pipeline costs</t>
  </si>
  <si>
    <t>Maybe</t>
  </si>
  <si>
    <t>TBD*</t>
  </si>
  <si>
    <t>Yes - Claims</t>
  </si>
  <si>
    <t>Select pipeline view from the dropdown menu below</t>
  </si>
  <si>
    <t>Choose the best pipeline forecast for your plan</t>
  </si>
  <si>
    <t>Price per Patient Treated</t>
  </si>
  <si>
    <t>Category</t>
  </si>
  <si>
    <t>Ultra-Orphan</t>
  </si>
  <si>
    <t xml:space="preserve">.  </t>
  </si>
  <si>
    <t>Orphan conditions</t>
  </si>
  <si>
    <t>Osteoarthritis (knee replacement)</t>
  </si>
  <si>
    <t>Higher prevalence genetic</t>
  </si>
  <si>
    <t>Able to manage the growth in PMPM</t>
  </si>
  <si>
    <t>Check if Yes</t>
  </si>
  <si>
    <t>Able to anticipate/plan for surge in costs due to prevalent populations</t>
  </si>
  <si>
    <t>Able to secure/maintain any needed mechanism for actuarial risk (stop loss, reinsurance, risk pools, etc.)</t>
  </si>
  <si>
    <t>Able to protect treatment benefit with performance guarantees</t>
  </si>
  <si>
    <t>q</t>
  </si>
  <si>
    <t>Step 3 - Organization assessment of pipeline impact.</t>
  </si>
  <si>
    <t>*TBD is defined by the financial solution selected</t>
  </si>
  <si>
    <t xml:space="preserve">You may wish to consider one of the FoCUS precision finance solutions.  Note however, that no one precision financing solution addresses all components of risk and a combination of finance solutions may be needed to prepare your organization for the pipeline impact.  </t>
  </si>
  <si>
    <t xml:space="preserve">A total solutions strategy also requires consideration of: </t>
  </si>
  <si>
    <t xml:space="preserve">- Benefit design </t>
  </si>
  <si>
    <t xml:space="preserve">The Pipeline Estimator Tool allows you to apply simple population ratios to get a sense of the potential impact of the expected new products on your plan. The pipeline addresses certain conditions are more commonly seen within population segments; for example, Medicare plans will likely see a larger share of the oncology cell therapies; Medicaid plans will see a larger share of treatments to address genetic conditions that manifest in childhood. The pipeline tool enables the user to breakdown the General Population (US Census) data into segments of Medicare, Medicaid and Not Medicare or Medicaid to best match the users' plan type.  </t>
  </si>
  <si>
    <r>
      <t xml:space="preserve">Note - </t>
    </r>
    <r>
      <rPr>
        <b/>
        <sz val="11"/>
        <color theme="1"/>
        <rFont val="Calibri"/>
        <family val="2"/>
        <scheme val="minor"/>
      </rPr>
      <t>General Population</t>
    </r>
    <r>
      <rPr>
        <sz val="11"/>
        <color theme="1"/>
        <rFont val="Calibri"/>
        <family val="2"/>
        <scheme val="minor"/>
      </rPr>
      <t xml:space="preserve"> represents all US lives.  </t>
    </r>
    <r>
      <rPr>
        <b/>
        <sz val="11"/>
        <color theme="1"/>
        <rFont val="Calibri"/>
        <family val="2"/>
        <scheme val="minor"/>
      </rPr>
      <t xml:space="preserve">Not Medicare or Medicaid </t>
    </r>
    <r>
      <rPr>
        <sz val="11"/>
        <color theme="1"/>
        <rFont val="Calibri"/>
        <family val="2"/>
        <scheme val="minor"/>
      </rPr>
      <t>represents all US lives less Medicare/Medicaid and represents commercial, employer coverage, uninsured, etc.</t>
    </r>
  </si>
  <si>
    <t>Guide to Strategic Considerations</t>
  </si>
  <si>
    <t xml:space="preserve">Strategies to address pipeline projections of total cost and PMPM must address growth in cost over time, surges in cost due to new treatments for prevalent populations, actuarial risks from incidence of high cost orphan conditions and opportunities to protect payment value for treatment against failure of product to deliver outcomes.  </t>
  </si>
  <si>
    <t xml:space="preserve">Resources for Implementation of any of the precision financing solutions should be considered when selecting a precision financing approach.  Capabilities maybe found within your organization or may require contracting externally.  Considerations for implementation are presented in the table below. </t>
  </si>
  <si>
    <t>- Provider delivery network / Centers of Excellence contracting</t>
  </si>
  <si>
    <t>- Out of state networks</t>
  </si>
  <si>
    <t>Prices used in the estimation of total pipeline reimbursement</t>
  </si>
  <si>
    <t>Pipeline Type</t>
  </si>
  <si>
    <t>Select a pipeline view from the dropdown menu</t>
  </si>
  <si>
    <t>Ophthalmological (genetic)</t>
  </si>
  <si>
    <t>Ophthalmological (non-genetic)</t>
  </si>
  <si>
    <t>CAR-T/TCR</t>
  </si>
  <si>
    <t>2023</t>
  </si>
  <si>
    <t>2024</t>
  </si>
  <si>
    <t>2025</t>
  </si>
  <si>
    <t>2026</t>
  </si>
  <si>
    <t>2027</t>
  </si>
  <si>
    <t>2028</t>
  </si>
  <si>
    <t>2029</t>
  </si>
  <si>
    <t>2030</t>
  </si>
  <si>
    <t>2031</t>
  </si>
  <si>
    <t>2032</t>
  </si>
  <si>
    <t>2033</t>
  </si>
  <si>
    <t>2034</t>
  </si>
  <si>
    <t>2035</t>
  </si>
  <si>
    <t xml:space="preserve">Note:  This model estimates off the December 2023 pipeline for durable gene and cell therapies.  As these come to market, patient utilization grows and then falls as any bolus of prevalent patients are treated.  The financial projections </t>
  </si>
  <si>
    <t xml:space="preserve">follow the same pattern.  This estimate ONLY includes estimated sales from the current, known, clinical pipeline. Other products might launch during the forecast timeframe and would be expected to INCREASE these numbers, </t>
  </si>
  <si>
    <t xml:space="preserve">NEWDIGS FoCUS undertook a pipeline analysis to determine the scale of the financing challenge of </t>
  </si>
  <si>
    <t xml:space="preserve"> by the authors, including the NEWDIGS FoCUS Writing Group. The differential penetration rates for </t>
  </si>
  <si>
    <t>New Drug Development Paradigms Initiative (“NEWDIGS”) within the Center for Biomedical Innovation (“CBI”) at the Tufts Medical Center</t>
  </si>
  <si>
    <t xml:space="preserve">(the “Site”).  These Terms of Use govern your use of the Site and the materials found on the Site, including but not limited to this workbook. </t>
  </si>
  <si>
    <t xml:space="preserve">1. The Site and all Content and all intellectual property rights therein are owned by Tufts Medical Center, its licensors or other providers. You must not use the name “Tufts Medical Center” </t>
  </si>
  <si>
    <t xml:space="preserve"> or any variation, adaptation, or abbreviation thereof, or of any of Tufts Medical Center’s trustees, officers, faculty, students, employees, or agents, or any trademark </t>
  </si>
  <si>
    <t>owned by Tufts Medical Center (which includes the Tufts Medical Center logos) without the prior written permission of Tufts Medical Center. All other trademarks appearing on the Site are the property of their respective owners.</t>
  </si>
  <si>
    <t xml:space="preserve">PROPERLY ATTRIBUTE SUCH CONTENT TO TUFTS MEDICAL CENTER. FOR THE SAKE OF CLARITY, PROPER ATTRIBUTION INCLUDES THE REPRODUCTION OF ALL </t>
  </si>
  <si>
    <t>PERMISSION TO USE AVAILABLE CONTENT IS REVOCABLE BY TUFTS MEDICAL CENTER AT ITS SOLE DISCRETION AT ANY TIME UPON NOTICE FROM TUFTS MEDICAL CENTER.</t>
  </si>
  <si>
    <t xml:space="preserve">3. If and to the extent you provide any feedback, suggestions, recommendations, analysis or other information or data to Tufts Medical Center in connection with your use of the Site or the Content (“Feedback”), </t>
  </si>
  <si>
    <t>you hereby permit Tufts Medical Center to use, reproduce, disclose, distribute, modify, and prepare derivative works of such Feedback for any purpose whatsoever in perpetuity.</t>
  </si>
  <si>
    <t>1. Modify copies of any Content, except as expressly authorized by Tufts Medical Center on the Site;</t>
  </si>
  <si>
    <t xml:space="preserve">5. No right, title or interest in or to the Site or any Content is transferred to you, and all rights not expressly granted are reserved by Tufts Medical Center. Any use of the Site not expressly permitted by these </t>
  </si>
  <si>
    <t xml:space="preserve">THE FOREGOING, Tufts Medical Center MAKES NO WARRANTY THAT: (a) THE SITE OR THE CONTENT IS ACCURATE, COMPLETE, USEFUL FOR A PARTICULAR PURPOSE OR UP-TO-DATE OR (b) </t>
  </si>
  <si>
    <t xml:space="preserve">Tufts Medical Center shall not be responsible or liable for your use of the Site, the Content, and/or any information based upon your use of the Content. This Site and the Content are not a substitute for your or your entity’s </t>
  </si>
  <si>
    <t xml:space="preserve">1. Tufts Medical Center does not guarantee or warrant that files available for downloading from the Internet or the Site will be free of viruses or other destructive code. NEITHER Tufts Medical Center NOR ANY PERSON ASSOCIATED </t>
  </si>
  <si>
    <t xml:space="preserve">WITH TUFTS MEDICAL CENTER MAKES ANY WARRANTY OR REPRESENTATION WITH RESPECT TO THE SECURITY, RELIABILITY, QUALITY, OR AVAILABILITY OF THE SITE AND THE CONTENT. TUFTS MEDICAL CENTER </t>
  </si>
  <si>
    <t>1. IN NO EVENT WILL TUFTS MEDICAL CENTER, ITSTRUSTEES, DIRECTORS, OFFICERS, FACULTY, STUDENTS, EMPLOYEES, AGENTS, AFFILIATES AND THEIR RESPECTIVE SUCCESSORS, HEIRS AND</t>
  </si>
  <si>
    <t xml:space="preserve">To the fullest extent perTufts Medical Centerted by law, you shall indemnify Tufts Medical Center and all of its trustees, directors, officers, faculty, students, employees, agents, affiliates and their respective </t>
  </si>
  <si>
    <t xml:space="preserve">Tufts Medical Center has the right to: (a) take appropriate legal action, including without limitation, referral to law enforcement, for any illegal or unauthorized use of the Site and </t>
  </si>
  <si>
    <t xml:space="preserve">You understand that Tufts Medical Center does not provide customer assistance or technical support for use of the Site. You may contact us concerning technical problems but Tufts Medical Center is </t>
  </si>
  <si>
    <t xml:space="preserve">If the Site contains links to other websites and resources provided by or hosted by third parties, these links are provided for your convenience only. Tufts Medical Center has no control </t>
  </si>
  <si>
    <t xml:space="preserve">The Site is operated by Tufts Medical Center from Boston, Massachusetts in the United States of America. Content is not intended for distribution to, or use by, any person or </t>
  </si>
  <si>
    <t xml:space="preserve">entity in any jurisdiction or country where such distribution or use would be contrary to law or regulation or which would subject Tufts Medical Center to any registration or </t>
  </si>
  <si>
    <t>other requirement within such jurisdiction or country. Tufts Medical Center reserves the right to limit access or availability of the Site to any person, geographic region or jurisdiction.</t>
  </si>
  <si>
    <t xml:space="preserve">No waiver of these Terms of Use by Tufts Medical Center shall be deemed a further or continuing waiver of such term or condition or any other term or condition, and any failure </t>
  </si>
  <si>
    <t xml:space="preserve">of Tufts Medical Center to assert a right or provision under these Terms of Use shall not constitute a waiver of such right or provision.  If any provision of these Terms of Use </t>
  </si>
  <si>
    <t>1. The Site is operated by the FoCUS Project within NEWDIGS at Tufts Medical Center.  All technical issues or questions may be directed to tuftsmcnewdigs@tuftsmedicalcenter.org provided that Tufts Medical Center is under no obligation to respond to your email or make any requested fix.</t>
  </si>
  <si>
    <t>2. ​All other feedback and comments concerning the Site and the Content, or other general inquiries related to NEWDIGS or FoCUS should be directed to tuftsmcnewdigs@tuftsmedicalcenter.org.</t>
  </si>
  <si>
    <t>Tufts Medical Center reserves the right to change these Terms of Use at any time in its sole discretion by posting revisions on the Site. Such revisions will be effective</t>
  </si>
  <si>
    <t xml:space="preserve">2. Tufts Medical Center reserves the right to change or update the Site, and any information, service, tool, model, material, features and functionality (including but not limited to all software, text, </t>
  </si>
  <si>
    <t>in our sole discretion and without notice. However, Tufts Medical Center is under no obligation to update or correct any Content.</t>
  </si>
  <si>
    <t xml:space="preserve">3. Tufts Medical Center will not be responsible or liable if for any reason all or any part of the Site is unavailable at any time or for any period. Tufts Medical Center may suspend access to the entire Site, </t>
  </si>
  <si>
    <t>or some parts of the Site, or close it indefinitely, in Tufts Medical Center’s discretion.</t>
  </si>
  <si>
    <t xml:space="preserve">3. To engage in any other conduct that restricts or inhibits anyone’s use or enjoyment of the Site, or which, as determined by Tufts Medical Center, may harm Tufts Medical Center or users of the Site or </t>
  </si>
  <si>
    <t>2. Use any manual process to monitor or impermissibly copy any of the material on the Site or for any other unauthorized purpose without the prior written consent of Tufts Medical Center;</t>
  </si>
  <si>
    <t>6. Access or search or attempt to access or search the Site by any means (automated or otherwise) other than through our currently available, published interfaces provided by Tufts Medical Center; or</t>
  </si>
  <si>
    <t xml:space="preserve">price/patient treated.  Prices were assumed to be $2,500,000 per medicine for ultra-orphan diseases, </t>
  </si>
  <si>
    <t xml:space="preserve">$800,000 for orphan diseases, $800,000 for ophthalmological (genetic) diseases,  $500,000 for higher prevalence </t>
  </si>
  <si>
    <t xml:space="preserve"> and $50,000 for osteoarthritis. These figures will be adjusted periodically to reflect market-based pricing </t>
  </si>
  <si>
    <t xml:space="preserve">conditions,  $400,000 for CAR-Ts and TCRs (cancer therapies), $100,000 for ophthalmologic (non-genetic) disease, </t>
  </si>
  <si>
    <t xml:space="preserve">Warranty  </t>
  </si>
  <si>
    <t>of treatments, and shifts within the pharmaceutical pipeline.  These adjustments ensure a current and accurate representation of the evolving treatment landscape.</t>
  </si>
  <si>
    <t xml:space="preserve">This version of the Pipeline estimator tool reflects market-adjusted updates as of December 2023. Revisions are based on ongoing epidemiologic review, real-world market adoption </t>
  </si>
  <si>
    <t xml:space="preserve">large-molecule therapies. These data were extracted in February 2024.  Start dates and primary end </t>
  </si>
  <si>
    <t xml:space="preserve">ﬂexible, but in the base case are maximum penetration rate of new incident cases  was set at 90% in total for all </t>
  </si>
  <si>
    <t>products in an indication, with a 2-year ramp-up to that ceiling from the time of the ﬁrst product’s launch;</t>
  </si>
  <si>
    <t>maximum penetration rate of prevalent cases (the “backlog”) of 70%, also in total for all products in an</t>
  </si>
  <si>
    <t>indication with a 5-year time frame  to clear. These assumed base-case parameters were formed jointly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</si>
</sst>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43" formatCode="_(* #,##0.00_);_(* \(#,##0.00\);_(* &quot;-&quot;??_);_(@_)"/>
    <numFmt numFmtId="164" formatCode="_(* #,##0_);_(* \(#,##0\);_(* &quot;-&quot;??_);_(@_)"/>
    <numFmt numFmtId="165" formatCode="&quot;$&quot;#,##0.0_);[Red]\(&quot;$&quot;#,##0.0\)"/>
    <numFmt numFmtId="166" formatCode="_(&quot;$&quot;* #,##0.0_);_(&quot;$&quot;* \(#,##0.0\);_(&quot;$&quot;* &quot;-&quot;??_);_(@_)"/>
  </numFmts>
  <fonts count="33">
    <font>
      <sz val="11"/>
      <color theme="1"/>
      <name val="Calibri"/>
      <family val="2"/>
      <scheme val="minor"/>
    </font>
    <font>
      <sz val="12"/>
      <color theme="1"/>
      <name val="Calibri"/>
      <family val="2"/>
      <scheme val="minor"/>
    </font>
    <font>
      <b/>
      <sz val="11"/>
      <color theme="1"/>
      <name val="Calibri"/>
      <family val="2"/>
      <scheme val="minor"/>
    </font>
    <font>
      <sz val="11"/>
      <color rgb="FFFF0000"/>
      <name val="Calibri"/>
      <family val="2"/>
      <scheme val="minor"/>
    </font>
    <font>
      <b/>
      <sz val="11"/>
      <color theme="0"/>
      <name val="Calibri"/>
      <family val="2"/>
      <scheme val="minor"/>
    </font>
    <font>
      <b/>
      <sz val="16"/>
      <color theme="1"/>
      <name val="Calibri"/>
      <family val="2"/>
      <scheme val="minor"/>
    </font>
    <font>
      <sz val="11"/>
      <color theme="1"/>
      <name val="Calibri"/>
      <family val="2"/>
      <scheme val="minor"/>
    </font>
    <font>
      <sz val="11"/>
      <name val="Calibri"/>
      <family val="2"/>
      <scheme val="minor"/>
    </font>
    <font>
      <b/>
      <i/>
      <sz val="11"/>
      <color theme="1"/>
      <name val="Calibri"/>
      <family val="2"/>
      <scheme val="minor"/>
    </font>
    <font>
      <b/>
      <u/>
      <sz val="11"/>
      <color theme="1"/>
      <name val="Calibri"/>
      <family val="2"/>
      <scheme val="minor"/>
    </font>
    <font>
      <u/>
      <sz val="11"/>
      <color theme="10"/>
      <name val="Calibri"/>
      <family val="2"/>
      <scheme val="minor"/>
    </font>
    <font>
      <b/>
      <sz val="11"/>
      <color rgb="FF272727"/>
      <name val="Neue-haas-grotesk-text"/>
    </font>
    <font>
      <b/>
      <sz val="22"/>
      <color rgb="FF357632"/>
      <name val="Neue-haas-grotesk-text"/>
    </font>
    <font>
      <sz val="8.8000000000000007"/>
      <color rgb="FF000000"/>
      <name val="Neue-haas-grotesk-text"/>
    </font>
    <font>
      <b/>
      <sz val="8.8000000000000007"/>
      <color rgb="FF357632"/>
      <name val="Neue-haas-grotesk-text"/>
    </font>
    <font>
      <b/>
      <sz val="11"/>
      <name val="Calibri"/>
      <family val="2"/>
      <scheme val="minor"/>
    </font>
    <font>
      <sz val="11"/>
      <color rgb="FF595959"/>
      <name val="Franklin Gothic Book"/>
      <family val="2"/>
    </font>
    <font>
      <i/>
      <sz val="11"/>
      <name val="Franklin Gothic Book"/>
      <family val="2"/>
    </font>
    <font>
      <sz val="11"/>
      <name val="Franklin Gothic Book"/>
      <family val="2"/>
    </font>
    <font>
      <b/>
      <sz val="11"/>
      <color rgb="FF595959"/>
      <name val="Franklin Gothic Book"/>
      <family val="2"/>
    </font>
    <font>
      <sz val="11"/>
      <color theme="0"/>
      <name val="Calibri"/>
      <family val="2"/>
      <scheme val="minor"/>
    </font>
    <font>
      <b/>
      <sz val="11"/>
      <color rgb="FF0070C0"/>
      <name val="Calibri"/>
      <family val="2"/>
      <scheme val="minor"/>
    </font>
    <font>
      <sz val="12"/>
      <color rgb="FF9C0006"/>
      <name val="Calibri"/>
      <family val="2"/>
      <scheme val="minor"/>
    </font>
    <font>
      <sz val="12"/>
      <color theme="0"/>
      <name val="Calibri"/>
      <family val="2"/>
      <scheme val="minor"/>
    </font>
    <font>
      <u/>
      <sz val="11"/>
      <color theme="11"/>
      <name val="Calibri"/>
      <family val="2"/>
      <scheme val="minor"/>
    </font>
    <font>
      <sz val="10"/>
      <color theme="1"/>
      <name val="Calibri"/>
      <family val="2"/>
      <scheme val="minor"/>
    </font>
    <font>
      <sz val="10"/>
      <color rgb="FF9C0006"/>
      <name val="Calibri"/>
      <family val="2"/>
      <scheme val="minor"/>
    </font>
    <font>
      <b/>
      <i/>
      <sz val="12"/>
      <color theme="1"/>
      <name val="Calibri"/>
      <family val="2"/>
      <scheme val="minor"/>
    </font>
    <font>
      <b/>
      <i/>
      <sz val="11"/>
      <name val="Calibri"/>
      <family val="2"/>
      <scheme val="minor"/>
    </font>
    <font>
      <b/>
      <sz val="11"/>
      <color theme="1"/>
      <name val="Wingdings"/>
      <charset val="2"/>
    </font>
    <font>
      <sz val="11"/>
      <color theme="1"/>
      <name val="Wingdings"/>
      <charset val="2"/>
    </font>
    <font>
      <sz val="10"/>
      <name val="Calibri"/>
      <family val="2"/>
      <scheme val="minor"/>
    </font>
    <font>
      <i/>
      <sz val="11"/>
      <color theme="1"/>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5" tint="0.79998168889431442"/>
        <bgColor indexed="64"/>
      </patternFill>
    </fill>
    <fill>
      <patternFill patternType="solid">
        <fgColor theme="4"/>
        <bgColor indexed="64"/>
      </patternFill>
    </fill>
    <fill>
      <patternFill patternType="solid">
        <fgColor rgb="FFFF0000"/>
        <bgColor indexed="64"/>
      </patternFill>
    </fill>
    <fill>
      <patternFill patternType="solid">
        <fgColor theme="9" tint="0.39997558519241921"/>
        <bgColor indexed="64"/>
      </patternFill>
    </fill>
    <fill>
      <patternFill patternType="solid">
        <fgColor rgb="FFFFC7CE"/>
      </patternFill>
    </fill>
    <fill>
      <patternFill patternType="solid">
        <fgColor rgb="FF0000FF"/>
        <bgColor indexed="64"/>
      </patternFill>
    </fill>
    <fill>
      <patternFill patternType="solid">
        <fgColor theme="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bottom style="double">
        <color auto="1"/>
      </bottom>
      <diagonal/>
    </border>
    <border>
      <left/>
      <right/>
      <top style="thin">
        <color auto="1"/>
      </top>
      <bottom style="double">
        <color auto="1"/>
      </bottom>
      <diagonal/>
    </border>
    <border>
      <left/>
      <right/>
      <top/>
      <bottom style="thin">
        <color auto="1"/>
      </bottom>
      <diagonal/>
    </border>
    <border>
      <left/>
      <right style="medium">
        <color auto="1"/>
      </right>
      <top/>
      <bottom/>
      <diagonal/>
    </border>
    <border>
      <left style="medium">
        <color auto="1"/>
      </left>
      <right/>
      <top/>
      <bottom/>
      <diagonal/>
    </border>
  </borders>
  <cellStyleXfs count="25">
    <xf numFmtId="0" fontId="0" fillId="0" borderId="0"/>
    <xf numFmtId="43" fontId="6" fillId="0" borderId="0" applyFont="0" applyFill="0" applyBorder="0" applyAlignment="0" applyProtection="0"/>
    <xf numFmtId="44" fontId="6" fillId="0" borderId="0" applyFont="0" applyFill="0" applyBorder="0" applyAlignment="0" applyProtection="0"/>
    <xf numFmtId="0" fontId="10" fillId="0" borderId="0" applyNumberFormat="0" applyFill="0" applyBorder="0" applyAlignment="0" applyProtection="0"/>
    <xf numFmtId="0" fontId="22" fillId="10" borderId="0" applyNumberFormat="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cellStyleXfs>
  <cellXfs count="132">
    <xf numFmtId="0" fontId="0" fillId="0" borderId="0" xfId="0"/>
    <xf numFmtId="0" fontId="2" fillId="0" borderId="0" xfId="0" applyFont="1"/>
    <xf numFmtId="0" fontId="0" fillId="0" borderId="0" xfId="0" applyAlignment="1">
      <alignment horizontal="center"/>
    </xf>
    <xf numFmtId="0" fontId="4" fillId="3" borderId="2" xfId="0" applyFont="1" applyFill="1" applyBorder="1"/>
    <xf numFmtId="0" fontId="0" fillId="4" borderId="2" xfId="0" applyFill="1" applyBorder="1" applyAlignment="1">
      <alignment horizontal="left"/>
    </xf>
    <xf numFmtId="0" fontId="0" fillId="0" borderId="2" xfId="0" applyBorder="1" applyAlignment="1">
      <alignment horizontal="left"/>
    </xf>
    <xf numFmtId="0" fontId="2" fillId="2" borderId="0" xfId="0" applyFont="1" applyFill="1"/>
    <xf numFmtId="6" fontId="0" fillId="0" borderId="0" xfId="0" applyNumberFormat="1"/>
    <xf numFmtId="0" fontId="0" fillId="2" borderId="0" xfId="0" applyFill="1"/>
    <xf numFmtId="0" fontId="0" fillId="6" borderId="0" xfId="0" applyFill="1"/>
    <xf numFmtId="0" fontId="2" fillId="6" borderId="6" xfId="0" applyFont="1" applyFill="1" applyBorder="1"/>
    <xf numFmtId="0" fontId="0" fillId="6" borderId="7" xfId="0" applyFill="1" applyBorder="1"/>
    <xf numFmtId="0" fontId="2" fillId="6" borderId="0" xfId="0" applyFont="1" applyFill="1"/>
    <xf numFmtId="0" fontId="0" fillId="6" borderId="0" xfId="0" quotePrefix="1" applyFill="1"/>
    <xf numFmtId="0" fontId="7" fillId="0" borderId="0" xfId="0" quotePrefix="1" applyFont="1"/>
    <xf numFmtId="0" fontId="7" fillId="0" borderId="0" xfId="0" applyFont="1"/>
    <xf numFmtId="164" fontId="0" fillId="5" borderId="1" xfId="1" applyNumberFormat="1" applyFont="1" applyFill="1" applyBorder="1" applyProtection="1">
      <protection locked="0"/>
    </xf>
    <xf numFmtId="0" fontId="5" fillId="0" borderId="4" xfId="0" applyFont="1" applyBorder="1" applyAlignment="1">
      <alignment horizontal="left"/>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3" fillId="0" borderId="0" xfId="0" applyFont="1" applyAlignment="1">
      <alignment horizontal="left" vertical="center"/>
    </xf>
    <xf numFmtId="0" fontId="0" fillId="0" borderId="0" xfId="0" applyAlignment="1">
      <alignment horizontal="left" vertical="center"/>
    </xf>
    <xf numFmtId="0" fontId="13" fillId="0" borderId="0" xfId="0" applyFont="1" applyAlignment="1">
      <alignment horizontal="left" vertical="center" indent="1"/>
    </xf>
    <xf numFmtId="0" fontId="16" fillId="0" borderId="0" xfId="0" applyFont="1" applyAlignment="1">
      <alignment vertical="center"/>
    </xf>
    <xf numFmtId="0" fontId="19" fillId="0" borderId="0" xfId="0" applyFont="1" applyAlignment="1">
      <alignment horizontal="center" vertical="center"/>
    </xf>
    <xf numFmtId="0" fontId="0" fillId="0" borderId="0" xfId="0" quotePrefix="1"/>
    <xf numFmtId="0" fontId="7" fillId="0" borderId="0" xfId="0" applyFont="1" applyAlignment="1">
      <alignment vertical="center"/>
    </xf>
    <xf numFmtId="0" fontId="7" fillId="0" borderId="0" xfId="0" applyFont="1" applyAlignment="1">
      <alignment horizontal="left" vertical="center" indent="5"/>
    </xf>
    <xf numFmtId="0" fontId="7" fillId="0" borderId="0" xfId="0" quotePrefix="1" applyFont="1" applyAlignment="1">
      <alignment horizontal="left" vertical="center"/>
    </xf>
    <xf numFmtId="0" fontId="15" fillId="0" borderId="0" xfId="0" applyFont="1"/>
    <xf numFmtId="0" fontId="4" fillId="3" borderId="0" xfId="0" applyFont="1" applyFill="1"/>
    <xf numFmtId="0" fontId="0" fillId="4" borderId="0" xfId="0" applyFill="1" applyAlignment="1">
      <alignment horizontal="left"/>
    </xf>
    <xf numFmtId="0" fontId="0" fillId="0" borderId="0" xfId="0" applyAlignment="1">
      <alignment horizontal="left"/>
    </xf>
    <xf numFmtId="0" fontId="2" fillId="7" borderId="0" xfId="0" applyFont="1" applyFill="1"/>
    <xf numFmtId="0" fontId="4" fillId="7" borderId="0" xfId="0" applyFont="1" applyFill="1"/>
    <xf numFmtId="0" fontId="4" fillId="7" borderId="0" xfId="0" applyFont="1" applyFill="1" applyAlignment="1">
      <alignment horizontal="center"/>
    </xf>
    <xf numFmtId="3" fontId="0" fillId="0" borderId="0" xfId="0" applyNumberFormat="1"/>
    <xf numFmtId="3" fontId="0" fillId="0" borderId="1" xfId="0" applyNumberFormat="1" applyBorder="1"/>
    <xf numFmtId="3" fontId="0" fillId="0" borderId="11" xfId="0" applyNumberFormat="1" applyBorder="1"/>
    <xf numFmtId="3" fontId="0" fillId="0" borderId="12" xfId="0" applyNumberFormat="1" applyBorder="1"/>
    <xf numFmtId="3" fontId="0" fillId="0" borderId="13" xfId="0" applyNumberFormat="1" applyBorder="1"/>
    <xf numFmtId="3" fontId="0" fillId="0" borderId="14" xfId="0" applyNumberFormat="1" applyBorder="1"/>
    <xf numFmtId="3" fontId="0" fillId="0" borderId="15" xfId="0" applyNumberFormat="1" applyBorder="1"/>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xf numFmtId="3" fontId="0" fillId="0" borderId="8" xfId="0" applyNumberFormat="1" applyBorder="1"/>
    <xf numFmtId="3" fontId="0" fillId="0" borderId="9" xfId="0" applyNumberFormat="1" applyBorder="1"/>
    <xf numFmtId="3" fontId="0" fillId="0" borderId="10" xfId="0" applyNumberFormat="1" applyBorder="1"/>
    <xf numFmtId="0" fontId="0" fillId="0" borderId="20" xfId="0" applyBorder="1"/>
    <xf numFmtId="0" fontId="0" fillId="0" borderId="21" xfId="0" applyBorder="1"/>
    <xf numFmtId="0" fontId="20" fillId="7" borderId="0" xfId="0" applyFont="1" applyFill="1"/>
    <xf numFmtId="0" fontId="4" fillId="8" borderId="0" xfId="0" applyFont="1" applyFill="1"/>
    <xf numFmtId="0" fontId="0" fillId="2" borderId="0" xfId="0" applyFill="1" applyAlignment="1">
      <alignment horizontal="center"/>
    </xf>
    <xf numFmtId="3" fontId="0" fillId="2" borderId="0" xfId="0" applyNumberFormat="1" applyFill="1"/>
    <xf numFmtId="9" fontId="0" fillId="0" borderId="0" xfId="0" applyNumberFormat="1" applyAlignment="1">
      <alignment horizontal="center"/>
    </xf>
    <xf numFmtId="0" fontId="0" fillId="2" borderId="0" xfId="0" applyFill="1" applyAlignment="1">
      <alignment horizontal="right"/>
    </xf>
    <xf numFmtId="0" fontId="5" fillId="0" borderId="4" xfId="0" applyFont="1" applyBorder="1" applyAlignment="1">
      <alignment horizontal="left" wrapText="1"/>
    </xf>
    <xf numFmtId="0" fontId="5" fillId="0" borderId="0" xfId="0" applyFont="1" applyAlignment="1">
      <alignment horizontal="left" wrapText="1"/>
    </xf>
    <xf numFmtId="0" fontId="0" fillId="0" borderId="0" xfId="0" applyAlignment="1">
      <alignment wrapText="1"/>
    </xf>
    <xf numFmtId="0" fontId="3" fillId="0" borderId="0" xfId="0" applyFont="1"/>
    <xf numFmtId="0" fontId="0" fillId="9" borderId="0" xfId="0" applyFill="1"/>
    <xf numFmtId="0" fontId="28" fillId="0" borderId="0" xfId="0" applyFont="1"/>
    <xf numFmtId="0" fontId="0" fillId="0" borderId="0" xfId="0" applyAlignment="1">
      <alignment horizontal="left" wrapText="1"/>
    </xf>
    <xf numFmtId="0" fontId="27" fillId="0" borderId="0" xfId="0" applyFont="1"/>
    <xf numFmtId="6" fontId="1" fillId="0" borderId="0" xfId="0" applyNumberFormat="1" applyFont="1" applyAlignment="1">
      <alignment horizontal="center" vertical="center" wrapText="1"/>
    </xf>
    <xf numFmtId="0" fontId="23" fillId="11" borderId="26" xfId="0" applyFont="1" applyFill="1" applyBorder="1" applyAlignment="1">
      <alignment horizontal="center" vertical="center" wrapText="1"/>
    </xf>
    <xf numFmtId="6" fontId="1" fillId="0" borderId="8" xfId="0" applyNumberFormat="1" applyFont="1" applyBorder="1" applyAlignment="1">
      <alignment horizontal="center" vertical="center" wrapText="1"/>
    </xf>
    <xf numFmtId="6" fontId="1" fillId="0" borderId="11" xfId="0" applyNumberFormat="1" applyFont="1" applyBorder="1" applyAlignment="1">
      <alignment horizontal="center" vertical="center" wrapText="1"/>
    </xf>
    <xf numFmtId="0" fontId="2" fillId="0" borderId="0" xfId="0" applyFont="1" applyAlignment="1">
      <alignment horizontal="left" wrapText="1"/>
    </xf>
    <xf numFmtId="0" fontId="26" fillId="0" borderId="0" xfId="4" applyFont="1" applyFill="1" applyBorder="1" applyAlignment="1" applyProtection="1">
      <alignment horizontal="center" vertical="center" wrapText="1"/>
    </xf>
    <xf numFmtId="6" fontId="1" fillId="0" borderId="13" xfId="0" applyNumberFormat="1" applyFont="1" applyBorder="1" applyAlignment="1">
      <alignment horizontal="center" vertical="center" wrapText="1"/>
    </xf>
    <xf numFmtId="0" fontId="2" fillId="0" borderId="1" xfId="0" applyFont="1" applyBorder="1" applyAlignment="1">
      <alignment horizontal="center"/>
    </xf>
    <xf numFmtId="0" fontId="2" fillId="0" borderId="0" xfId="0" applyFont="1" applyAlignment="1">
      <alignment horizontal="center"/>
    </xf>
    <xf numFmtId="6" fontId="0" fillId="0" borderId="1" xfId="0" applyNumberFormat="1" applyBorder="1" applyAlignment="1">
      <alignment horizontal="right" indent="2"/>
    </xf>
    <xf numFmtId="6" fontId="0" fillId="0" borderId="0" xfId="0" applyNumberFormat="1" applyAlignment="1">
      <alignment horizontal="left" indent="3"/>
    </xf>
    <xf numFmtId="0" fontId="21" fillId="0" borderId="0" xfId="0" applyFont="1"/>
    <xf numFmtId="6" fontId="21" fillId="0" borderId="1" xfId="0" applyNumberFormat="1" applyFont="1" applyBorder="1" applyAlignment="1">
      <alignment horizontal="right" indent="2"/>
    </xf>
    <xf numFmtId="6" fontId="21" fillId="0" borderId="0" xfId="0" applyNumberFormat="1" applyFont="1" applyAlignment="1">
      <alignment horizontal="left" indent="3"/>
    </xf>
    <xf numFmtId="0" fontId="2" fillId="9" borderId="0" xfId="0" applyFont="1" applyFill="1" applyAlignment="1">
      <alignment horizontal="center"/>
    </xf>
    <xf numFmtId="0" fontId="8" fillId="0" borderId="0" xfId="0" applyFont="1"/>
    <xf numFmtId="0" fontId="2" fillId="0" borderId="0" xfId="0" applyFont="1" applyAlignment="1">
      <alignment horizontal="center" wrapText="1"/>
    </xf>
    <xf numFmtId="164" fontId="0" fillId="0" borderId="0" xfId="1" applyNumberFormat="1" applyFont="1" applyBorder="1" applyProtection="1"/>
    <xf numFmtId="0" fontId="0" fillId="0" borderId="0" xfId="0" applyAlignment="1">
      <alignment horizontal="right"/>
    </xf>
    <xf numFmtId="0" fontId="2" fillId="0" borderId="3" xfId="0" applyFont="1" applyBorder="1" applyAlignment="1">
      <alignment horizontal="center"/>
    </xf>
    <xf numFmtId="0" fontId="2" fillId="0" borderId="4" xfId="0" applyFont="1" applyBorder="1" applyAlignment="1">
      <alignment horizontal="center"/>
    </xf>
    <xf numFmtId="165" fontId="0" fillId="0" borderId="1" xfId="0" applyNumberFormat="1" applyBorder="1"/>
    <xf numFmtId="165" fontId="0" fillId="0" borderId="4" xfId="0" applyNumberFormat="1" applyBorder="1"/>
    <xf numFmtId="165" fontId="0" fillId="0" borderId="0" xfId="0" applyNumberFormat="1"/>
    <xf numFmtId="166" fontId="0" fillId="0" borderId="1" xfId="2" applyNumberFormat="1" applyFont="1" applyBorder="1" applyProtection="1"/>
    <xf numFmtId="166" fontId="0" fillId="0" borderId="3" xfId="2" applyNumberFormat="1" applyFont="1" applyBorder="1" applyProtection="1"/>
    <xf numFmtId="166" fontId="0" fillId="0" borderId="4" xfId="2" applyNumberFormat="1" applyFont="1" applyBorder="1" applyProtection="1"/>
    <xf numFmtId="166" fontId="0" fillId="0" borderId="0" xfId="2" applyNumberFormat="1" applyFont="1" applyBorder="1" applyProtection="1"/>
    <xf numFmtId="0" fontId="8" fillId="0" borderId="0" xfId="0" applyFont="1" applyAlignment="1">
      <alignment horizontal="left" wrapText="1"/>
    </xf>
    <xf numFmtId="0" fontId="0" fillId="0" borderId="0" xfId="0" applyAlignment="1">
      <alignment vertical="top" wrapText="1"/>
    </xf>
    <xf numFmtId="0" fontId="0" fillId="0" borderId="22" xfId="0" applyBorder="1" applyAlignment="1">
      <alignment vertical="center" wrapText="1"/>
    </xf>
    <xf numFmtId="0" fontId="0" fillId="0" borderId="23" xfId="0" applyBorder="1" applyAlignment="1">
      <alignment horizontal="center" wrapText="1"/>
    </xf>
    <xf numFmtId="0" fontId="0" fillId="0" borderId="23" xfId="0" applyBorder="1" applyAlignment="1">
      <alignment horizontal="center" vertical="center" wrapText="1"/>
    </xf>
    <xf numFmtId="0" fontId="0" fillId="0" borderId="24" xfId="0" applyBorder="1" applyAlignment="1">
      <alignment horizontal="center"/>
    </xf>
    <xf numFmtId="0" fontId="0" fillId="0" borderId="5" xfId="0" applyBorder="1" applyAlignment="1">
      <alignment horizontal="center"/>
    </xf>
    <xf numFmtId="0" fontId="0" fillId="0" borderId="5" xfId="0" applyBorder="1"/>
    <xf numFmtId="0" fontId="0" fillId="9" borderId="0" xfId="0" applyFill="1" applyAlignment="1" applyProtection="1">
      <alignment wrapText="1"/>
      <protection locked="0"/>
    </xf>
    <xf numFmtId="9" fontId="0" fillId="9" borderId="0" xfId="0" applyNumberFormat="1" applyFill="1" applyAlignment="1" applyProtection="1">
      <alignment horizontal="center" wrapText="1"/>
      <protection locked="0"/>
    </xf>
    <xf numFmtId="0" fontId="29" fillId="0" borderId="0" xfId="0" applyFont="1" applyAlignment="1" applyProtection="1">
      <alignment horizontal="center"/>
      <protection locked="0"/>
    </xf>
    <xf numFmtId="0" fontId="30" fillId="0" borderId="0" xfId="0" applyFont="1" applyAlignment="1" applyProtection="1">
      <alignment horizontal="center"/>
      <protection locked="0"/>
    </xf>
    <xf numFmtId="0" fontId="10" fillId="12" borderId="0" xfId="3" applyFill="1"/>
    <xf numFmtId="0" fontId="0" fillId="12" borderId="0" xfId="0" applyFill="1"/>
    <xf numFmtId="0" fontId="32" fillId="0" borderId="0" xfId="0" applyFont="1"/>
    <xf numFmtId="0" fontId="10" fillId="0" borderId="0" xfId="3" applyFill="1" applyAlignment="1" applyProtection="1">
      <alignment horizontal="left" vertical="top" wrapText="1"/>
      <protection locked="0"/>
    </xf>
    <xf numFmtId="0" fontId="31" fillId="0" borderId="1" xfId="4" applyFont="1" applyFill="1" applyBorder="1" applyAlignment="1" applyProtection="1">
      <alignment horizontal="center" vertical="center" wrapText="1"/>
    </xf>
    <xf numFmtId="0" fontId="31" fillId="0" borderId="12" xfId="4" applyFont="1" applyFill="1" applyBorder="1" applyAlignment="1" applyProtection="1">
      <alignment horizontal="center" vertical="center" wrapText="1"/>
    </xf>
    <xf numFmtId="0" fontId="31" fillId="0" borderId="14" xfId="4" applyFont="1" applyFill="1" applyBorder="1" applyAlignment="1" applyProtection="1">
      <alignment horizontal="center" vertical="center" wrapText="1"/>
    </xf>
    <xf numFmtId="0" fontId="31" fillId="0" borderId="15" xfId="4" applyFont="1" applyFill="1" applyBorder="1" applyAlignment="1" applyProtection="1">
      <alignment horizontal="center" vertical="center" wrapText="1"/>
    </xf>
    <xf numFmtId="0" fontId="0" fillId="0" borderId="0" xfId="0" applyAlignment="1">
      <alignment horizontal="left" wrapText="1"/>
    </xf>
    <xf numFmtId="0" fontId="0" fillId="0" borderId="0" xfId="0" applyAlignment="1">
      <alignment horizontal="left" vertical="top" wrapText="1"/>
    </xf>
    <xf numFmtId="0" fontId="8" fillId="0" borderId="0" xfId="0" applyFont="1" applyAlignment="1">
      <alignment horizontal="left" wrapText="1"/>
    </xf>
    <xf numFmtId="0" fontId="2" fillId="9" borderId="0" xfId="0" applyFont="1" applyFill="1" applyAlignment="1">
      <alignment horizontal="center"/>
    </xf>
    <xf numFmtId="0" fontId="9" fillId="9" borderId="0" xfId="0" applyFont="1" applyFill="1" applyAlignment="1">
      <alignment horizontal="center"/>
    </xf>
    <xf numFmtId="0" fontId="25" fillId="0" borderId="0" xfId="0" applyFont="1" applyAlignment="1">
      <alignment horizontal="center" vertical="center" wrapText="1"/>
    </xf>
    <xf numFmtId="0" fontId="23" fillId="11" borderId="26" xfId="0" applyFont="1" applyFill="1" applyBorder="1" applyAlignment="1">
      <alignment horizontal="center" vertical="center" wrapText="1"/>
    </xf>
    <xf numFmtId="0" fontId="23" fillId="11" borderId="25" xfId="0" applyFont="1" applyFill="1" applyBorder="1" applyAlignment="1">
      <alignment horizontal="center" vertical="center" wrapText="1"/>
    </xf>
    <xf numFmtId="0" fontId="2" fillId="0" borderId="0" xfId="0" applyFont="1" applyAlignment="1">
      <alignment horizontal="center" wrapText="1"/>
    </xf>
    <xf numFmtId="0" fontId="31" fillId="0" borderId="1" xfId="0" applyFont="1" applyBorder="1" applyAlignment="1">
      <alignment horizontal="center" vertical="center" wrapText="1"/>
    </xf>
    <xf numFmtId="0" fontId="31" fillId="0" borderId="12" xfId="0" applyFont="1" applyBorder="1" applyAlignment="1">
      <alignment horizontal="center" vertical="center" wrapText="1"/>
    </xf>
    <xf numFmtId="0" fontId="0" fillId="0" borderId="0" xfId="0" applyAlignment="1">
      <alignment wrapTex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2" xfId="0" applyFont="1" applyBorder="1" applyAlignment="1">
      <alignment horizontal="center" vertical="center" wrapText="1"/>
    </xf>
  </cellXfs>
  <cellStyles count="25">
    <cellStyle name="Bad" xfId="4" builtinId="27"/>
    <cellStyle name="Comma" xfId="1" builtinId="3"/>
    <cellStyle name="Currency" xfId="2" builtinId="4"/>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Hyperlink" xfId="3" builtinId="8"/>
    <cellStyle name="Normal" xfId="0" builtinId="0"/>
  </cellStyles>
  <dxfs count="15">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4"/>
        </patternFill>
      </fill>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38100</xdr:rowOff>
    </xdr:from>
    <xdr:to>
      <xdr:col>12</xdr:col>
      <xdr:colOff>100915</xdr:colOff>
      <xdr:row>26</xdr:row>
      <xdr:rowOff>163749</xdr:rowOff>
    </xdr:to>
    <xdr:grpSp>
      <xdr:nvGrpSpPr>
        <xdr:cNvPr id="13" name="Group 12">
          <a:extLst>
            <a:ext uri="{FF2B5EF4-FFF2-40B4-BE49-F238E27FC236}">
              <a16:creationId xmlns:a16="http://schemas.microsoft.com/office/drawing/2014/main" id="{571CA880-74E0-45E3-99FD-62A109AA447A}"/>
            </a:ext>
          </a:extLst>
        </xdr:cNvPr>
        <xdr:cNvGrpSpPr/>
      </xdr:nvGrpSpPr>
      <xdr:grpSpPr>
        <a:xfrm>
          <a:off x="0" y="2948517"/>
          <a:ext cx="7212915" cy="2411649"/>
          <a:chOff x="907474" y="1268015"/>
          <a:chExt cx="7416115" cy="2320209"/>
        </a:xfrm>
      </xdr:grpSpPr>
      <xdr:sp macro="" textlink="">
        <xdr:nvSpPr>
          <xdr:cNvPr id="14" name="Rectangle 13">
            <a:extLst>
              <a:ext uri="{FF2B5EF4-FFF2-40B4-BE49-F238E27FC236}">
                <a16:creationId xmlns:a16="http://schemas.microsoft.com/office/drawing/2014/main" id="{6A3F9F2D-5CB2-407C-B2EF-2CAA1DE046FD}"/>
              </a:ext>
            </a:extLst>
          </xdr:cNvPr>
          <xdr:cNvSpPr/>
        </xdr:nvSpPr>
        <xdr:spPr>
          <a:xfrm>
            <a:off x="976745" y="1268015"/>
            <a:ext cx="7259782" cy="4222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t>Assessment of Access Needs</a:t>
            </a:r>
          </a:p>
        </xdr:txBody>
      </xdr:sp>
      <xdr:grpSp>
        <xdr:nvGrpSpPr>
          <xdr:cNvPr id="15" name="Group 14">
            <a:extLst>
              <a:ext uri="{FF2B5EF4-FFF2-40B4-BE49-F238E27FC236}">
                <a16:creationId xmlns:a16="http://schemas.microsoft.com/office/drawing/2014/main" id="{063C5D56-1E88-47CB-8CCB-8FDB083B2A6B}"/>
              </a:ext>
            </a:extLst>
          </xdr:cNvPr>
          <xdr:cNvGrpSpPr/>
        </xdr:nvGrpSpPr>
        <xdr:grpSpPr>
          <a:xfrm>
            <a:off x="976744" y="1794274"/>
            <a:ext cx="7259782" cy="616487"/>
            <a:chOff x="1683327" y="1794274"/>
            <a:chExt cx="4795272" cy="616487"/>
          </a:xfrm>
        </xdr:grpSpPr>
        <xdr:sp macro="" textlink="">
          <xdr:nvSpPr>
            <xdr:cNvPr id="21" name="Flowchart: Off-page Connector 20">
              <a:extLst>
                <a:ext uri="{FF2B5EF4-FFF2-40B4-BE49-F238E27FC236}">
                  <a16:creationId xmlns:a16="http://schemas.microsoft.com/office/drawing/2014/main" id="{D5D5B019-EFF9-4F65-80E7-06C56A073F82}"/>
                </a:ext>
              </a:extLst>
            </xdr:cNvPr>
            <xdr:cNvSpPr/>
          </xdr:nvSpPr>
          <xdr:spPr>
            <a:xfrm>
              <a:off x="1683327" y="1794274"/>
              <a:ext cx="1143000" cy="616487"/>
            </a:xfrm>
            <a:prstGeom prst="flowChartOffpageConnector">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t>What is the estimated impact of the coming pipeline of treatments on your business?</a:t>
              </a:r>
            </a:p>
          </xdr:txBody>
        </xdr:sp>
        <xdr:sp macro="" textlink="">
          <xdr:nvSpPr>
            <xdr:cNvPr id="22" name="Flowchart: Off-page Connector 21">
              <a:extLst>
                <a:ext uri="{FF2B5EF4-FFF2-40B4-BE49-F238E27FC236}">
                  <a16:creationId xmlns:a16="http://schemas.microsoft.com/office/drawing/2014/main" id="{9EC69EB1-525F-4EFF-9C92-B72D104FEE6C}"/>
                </a:ext>
              </a:extLst>
            </xdr:cNvPr>
            <xdr:cNvSpPr/>
          </xdr:nvSpPr>
          <xdr:spPr>
            <a:xfrm>
              <a:off x="2912824" y="1794274"/>
              <a:ext cx="1143000" cy="616487"/>
            </a:xfrm>
            <a:prstGeom prst="flowChartOffpageConnector">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t>Can the impact be handled through your current approaches?</a:t>
              </a:r>
            </a:p>
          </xdr:txBody>
        </xdr:sp>
        <xdr:sp macro="" textlink="">
          <xdr:nvSpPr>
            <xdr:cNvPr id="23" name="Flowchart: Off-page Connector 22">
              <a:extLst>
                <a:ext uri="{FF2B5EF4-FFF2-40B4-BE49-F238E27FC236}">
                  <a16:creationId xmlns:a16="http://schemas.microsoft.com/office/drawing/2014/main" id="{E426703E-F445-455B-AE30-877E248A5C99}"/>
                </a:ext>
              </a:extLst>
            </xdr:cNvPr>
            <xdr:cNvSpPr/>
          </xdr:nvSpPr>
          <xdr:spPr>
            <a:xfrm>
              <a:off x="4125006" y="1794274"/>
              <a:ext cx="1143000" cy="616487"/>
            </a:xfrm>
            <a:prstGeom prst="flowChartOffpageConnector">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t>Which precision financing solutions might help?</a:t>
              </a:r>
            </a:p>
          </xdr:txBody>
        </xdr:sp>
        <xdr:sp macro="" textlink="">
          <xdr:nvSpPr>
            <xdr:cNvPr id="24" name="Flowchart: Off-page Connector 23">
              <a:extLst>
                <a:ext uri="{FF2B5EF4-FFF2-40B4-BE49-F238E27FC236}">
                  <a16:creationId xmlns:a16="http://schemas.microsoft.com/office/drawing/2014/main" id="{D104D05B-7E89-4FEC-99D3-54DE97B40E62}"/>
                </a:ext>
              </a:extLst>
            </xdr:cNvPr>
            <xdr:cNvSpPr/>
          </xdr:nvSpPr>
          <xdr:spPr>
            <a:xfrm>
              <a:off x="5335599" y="1794274"/>
              <a:ext cx="1143000" cy="616487"/>
            </a:xfrm>
            <a:prstGeom prst="flowChartOffpageConnector">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t>Do you need to adapt other elements of your approach for this therapy?</a:t>
              </a:r>
            </a:p>
          </xdr:txBody>
        </xdr:sp>
      </xdr:grpSp>
      <xdr:sp macro="" textlink="">
        <xdr:nvSpPr>
          <xdr:cNvPr id="16" name="Rectangle 15">
            <a:extLst>
              <a:ext uri="{FF2B5EF4-FFF2-40B4-BE49-F238E27FC236}">
                <a16:creationId xmlns:a16="http://schemas.microsoft.com/office/drawing/2014/main" id="{C195F3FF-95F5-4EF9-A06A-0FA3049B6EDB}"/>
              </a:ext>
            </a:extLst>
          </xdr:cNvPr>
          <xdr:cNvSpPr/>
        </xdr:nvSpPr>
        <xdr:spPr>
          <a:xfrm>
            <a:off x="976745" y="1268015"/>
            <a:ext cx="7259782" cy="422240"/>
          </a:xfrm>
          <a:prstGeom prst="rect">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t>Payer Assessment:  Pipeline</a:t>
            </a:r>
          </a:p>
        </xdr:txBody>
      </xdr:sp>
      <xdr:sp macro="" textlink="">
        <xdr:nvSpPr>
          <xdr:cNvPr id="17" name="TextBox 10">
            <a:extLst>
              <a:ext uri="{FF2B5EF4-FFF2-40B4-BE49-F238E27FC236}">
                <a16:creationId xmlns:a16="http://schemas.microsoft.com/office/drawing/2014/main" id="{9BC6C7EB-3AB4-4EAD-8B5A-BD17FAA0576F}"/>
              </a:ext>
            </a:extLst>
          </xdr:cNvPr>
          <xdr:cNvSpPr txBox="1"/>
        </xdr:nvSpPr>
        <xdr:spPr>
          <a:xfrm>
            <a:off x="907474" y="2387895"/>
            <a:ext cx="1799709" cy="120032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12713" indent="-112713">
              <a:buFont typeface="Arial" panose="020B0604020202020204" pitchFamily="34" charset="0"/>
              <a:buChar char="•"/>
            </a:pPr>
            <a:r>
              <a:rPr lang="en-US" sz="900"/>
              <a:t>What is the potential landscape of durable, curative therapies over the foreseeable future?</a:t>
            </a:r>
          </a:p>
          <a:p>
            <a:pPr marL="112713" indent="-112713">
              <a:buFont typeface="Arial" panose="020B0604020202020204" pitchFamily="34" charset="0"/>
              <a:buChar char="•"/>
            </a:pPr>
            <a:r>
              <a:rPr lang="en-US" sz="900"/>
              <a:t>What is the estimated patient volume and PMPM cost over time for your plan?</a:t>
            </a:r>
          </a:p>
          <a:p>
            <a:pPr marL="112713" indent="-112713">
              <a:buFont typeface="Arial" panose="020B0604020202020204" pitchFamily="34" charset="0"/>
              <a:buChar char="•"/>
            </a:pPr>
            <a:r>
              <a:rPr lang="en-US" sz="900"/>
              <a:t>What are other factors to consider?</a:t>
            </a:r>
          </a:p>
        </xdr:txBody>
      </xdr:sp>
      <xdr:sp macro="" textlink="">
        <xdr:nvSpPr>
          <xdr:cNvPr id="18" name="TextBox 11">
            <a:extLst>
              <a:ext uri="{FF2B5EF4-FFF2-40B4-BE49-F238E27FC236}">
                <a16:creationId xmlns:a16="http://schemas.microsoft.com/office/drawing/2014/main" id="{78E85FAE-F324-4317-990A-8726DEA09B3F}"/>
              </a:ext>
            </a:extLst>
          </xdr:cNvPr>
          <xdr:cNvSpPr txBox="1"/>
        </xdr:nvSpPr>
        <xdr:spPr>
          <a:xfrm>
            <a:off x="2848416" y="2387895"/>
            <a:ext cx="1727010" cy="92333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12713" indent="-112713">
              <a:buFont typeface="Arial" panose="020B0604020202020204" pitchFamily="34" charset="0"/>
              <a:buChar char="•"/>
            </a:pPr>
            <a:r>
              <a:rPr lang="en-US" sz="900"/>
              <a:t>Are current approaches sufficient to address risks?</a:t>
            </a:r>
          </a:p>
          <a:p>
            <a:pPr marL="290512" lvl="1" indent="-171450">
              <a:buFont typeface="Calibri" panose="020F0502020204030204" pitchFamily="34" charset="0"/>
              <a:buChar char="‒"/>
            </a:pPr>
            <a:r>
              <a:rPr lang="en-US" sz="900"/>
              <a:t>Actuarial Risk</a:t>
            </a:r>
          </a:p>
          <a:p>
            <a:pPr marL="290512" lvl="1" indent="-171450">
              <a:buFont typeface="Calibri" panose="020F0502020204030204" pitchFamily="34" charset="0"/>
              <a:buChar char="‒"/>
            </a:pPr>
            <a:r>
              <a:rPr lang="en-US" sz="900"/>
              <a:t>Payment Timing</a:t>
            </a:r>
          </a:p>
          <a:p>
            <a:pPr marL="290512" lvl="1" indent="-171450">
              <a:buFont typeface="Calibri" panose="020F0502020204030204" pitchFamily="34" charset="0"/>
              <a:buChar char="‒"/>
            </a:pPr>
            <a:r>
              <a:rPr lang="en-US" sz="900"/>
              <a:t>Performance Uncertainty</a:t>
            </a:r>
          </a:p>
          <a:p>
            <a:pPr marL="290512" lvl="1" indent="-171450">
              <a:buFont typeface="Calibri" panose="020F0502020204030204" pitchFamily="34" charset="0"/>
              <a:buChar char="‒"/>
            </a:pPr>
            <a:r>
              <a:rPr lang="en-US" sz="900"/>
              <a:t>Executional Risk</a:t>
            </a:r>
          </a:p>
        </xdr:txBody>
      </xdr:sp>
      <xdr:sp macro="" textlink="">
        <xdr:nvSpPr>
          <xdr:cNvPr id="19" name="TextBox 12">
            <a:extLst>
              <a:ext uri="{FF2B5EF4-FFF2-40B4-BE49-F238E27FC236}">
                <a16:creationId xmlns:a16="http://schemas.microsoft.com/office/drawing/2014/main" id="{06A1B08E-EAB7-424A-85D8-5D62F7B25D93}"/>
              </a:ext>
            </a:extLst>
          </xdr:cNvPr>
          <xdr:cNvSpPr txBox="1"/>
        </xdr:nvSpPr>
        <xdr:spPr>
          <a:xfrm>
            <a:off x="4517139" y="2394822"/>
            <a:ext cx="2121646" cy="92333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12713" indent="-112713">
              <a:buFont typeface="Arial" panose="020B0604020202020204" pitchFamily="34" charset="0"/>
              <a:buChar char="•"/>
            </a:pPr>
            <a:r>
              <a:rPr lang="en-US" sz="900"/>
              <a:t>What are high potential precision financing solutions?</a:t>
            </a:r>
          </a:p>
          <a:p>
            <a:pPr marL="290512" lvl="1" indent="-171450">
              <a:buFont typeface="Calibri" panose="020F0502020204030204" pitchFamily="34" charset="0"/>
              <a:buChar char="‒"/>
            </a:pPr>
            <a:r>
              <a:rPr lang="en-US" sz="900"/>
              <a:t>Actuarial risk management</a:t>
            </a:r>
          </a:p>
          <a:p>
            <a:pPr marL="290512" lvl="1" indent="-171450">
              <a:buFont typeface="Calibri" panose="020F0502020204030204" pitchFamily="34" charset="0"/>
              <a:buChar char="‒"/>
            </a:pPr>
            <a:r>
              <a:rPr lang="en-US" sz="900"/>
              <a:t>Alternative payment models</a:t>
            </a:r>
          </a:p>
          <a:p>
            <a:pPr marL="112713" lvl="1" indent="-112713">
              <a:buFont typeface="Arial" panose="020B0604020202020204" pitchFamily="34" charset="0"/>
              <a:buChar char="•"/>
            </a:pPr>
            <a:r>
              <a:rPr lang="en-US" sz="900"/>
              <a:t>What external capabilities might be needed?</a:t>
            </a:r>
          </a:p>
        </xdr:txBody>
      </xdr:sp>
      <xdr:sp macro="" textlink="">
        <xdr:nvSpPr>
          <xdr:cNvPr id="20" name="TextBox 13">
            <a:extLst>
              <a:ext uri="{FF2B5EF4-FFF2-40B4-BE49-F238E27FC236}">
                <a16:creationId xmlns:a16="http://schemas.microsoft.com/office/drawing/2014/main" id="{E87A02B0-9711-412A-962E-E459C122BC3D}"/>
              </a:ext>
            </a:extLst>
          </xdr:cNvPr>
          <xdr:cNvSpPr txBox="1"/>
        </xdr:nvSpPr>
        <xdr:spPr>
          <a:xfrm>
            <a:off x="6507961" y="2387895"/>
            <a:ext cx="1815628" cy="646331"/>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12713" indent="-112713">
              <a:buFont typeface="Arial" panose="020B0604020202020204" pitchFamily="34" charset="0"/>
              <a:buChar char="•"/>
            </a:pPr>
            <a:r>
              <a:rPr lang="en-US" sz="900"/>
              <a:t>Performance Contract Design</a:t>
            </a:r>
          </a:p>
          <a:p>
            <a:pPr marL="112713" indent="-112713">
              <a:buFont typeface="Arial" panose="020B0604020202020204" pitchFamily="34" charset="0"/>
              <a:buChar char="•"/>
            </a:pPr>
            <a:r>
              <a:rPr lang="en-US" sz="900"/>
              <a:t>Delivery Networks and Policies</a:t>
            </a:r>
          </a:p>
          <a:p>
            <a:pPr marL="112713" indent="-112713">
              <a:buFont typeface="Arial" panose="020B0604020202020204" pitchFamily="34" charset="0"/>
              <a:buChar char="•"/>
            </a:pPr>
            <a:r>
              <a:rPr lang="en-US" sz="900"/>
              <a:t>Provider Reimbursement</a:t>
            </a:r>
          </a:p>
          <a:p>
            <a:pPr marL="112713" indent="-112713">
              <a:buFont typeface="Arial" panose="020B0604020202020204" pitchFamily="34" charset="0"/>
              <a:buChar char="•"/>
            </a:pPr>
            <a:r>
              <a:rPr lang="en-US" sz="900"/>
              <a:t>Benefit Design and Coding</a:t>
            </a:r>
          </a:p>
        </xdr:txBody>
      </xdr:sp>
    </xdr:grpSp>
    <xdr:clientData/>
  </xdr:twoCellAnchor>
  <xdr:twoCellAnchor editAs="oneCell">
    <xdr:from>
      <xdr:col>0</xdr:col>
      <xdr:colOff>0</xdr:colOff>
      <xdr:row>30</xdr:row>
      <xdr:rowOff>112036</xdr:rowOff>
    </xdr:from>
    <xdr:to>
      <xdr:col>7</xdr:col>
      <xdr:colOff>525780</xdr:colOff>
      <xdr:row>37</xdr:row>
      <xdr:rowOff>38099</xdr:rowOff>
    </xdr:to>
    <xdr:pic>
      <xdr:nvPicPr>
        <xdr:cNvPr id="32" name="Picture 31">
          <a:extLst>
            <a:ext uri="{FF2B5EF4-FFF2-40B4-BE49-F238E27FC236}">
              <a16:creationId xmlns:a16="http://schemas.microsoft.com/office/drawing/2014/main" id="{6A8B859E-C75E-45DD-B970-D7CA140656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32676"/>
          <a:ext cx="4792980" cy="1206223"/>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0</xdr:col>
      <xdr:colOff>0</xdr:colOff>
      <xdr:row>55</xdr:row>
      <xdr:rowOff>106680</xdr:rowOff>
    </xdr:from>
    <xdr:to>
      <xdr:col>8</xdr:col>
      <xdr:colOff>251460</xdr:colOff>
      <xdr:row>66</xdr:row>
      <xdr:rowOff>121920</xdr:rowOff>
    </xdr:to>
    <xdr:pic>
      <xdr:nvPicPr>
        <xdr:cNvPr id="25" name="Picture 25">
          <a:extLst>
            <a:ext uri="{FF2B5EF4-FFF2-40B4-BE49-F238E27FC236}">
              <a16:creationId xmlns:a16="http://schemas.microsoft.com/office/drawing/2014/main" id="{D62124EE-ECA0-4FBE-BF9E-075EC3E61C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088880"/>
          <a:ext cx="5128260" cy="215730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139700</xdr:colOff>
      <xdr:row>73</xdr:row>
      <xdr:rowOff>44450</xdr:rowOff>
    </xdr:from>
    <xdr:to>
      <xdr:col>3</xdr:col>
      <xdr:colOff>524510</xdr:colOff>
      <xdr:row>94</xdr:row>
      <xdr:rowOff>154090</xdr:rowOff>
    </xdr:to>
    <xdr:pic>
      <xdr:nvPicPr>
        <xdr:cNvPr id="3" name="Picture 2">
          <a:extLst>
            <a:ext uri="{FF2B5EF4-FFF2-40B4-BE49-F238E27FC236}">
              <a16:creationId xmlns:a16="http://schemas.microsoft.com/office/drawing/2014/main" id="{787E4F5E-159B-4E62-B86C-6882F30C3A6E}"/>
            </a:ext>
          </a:extLst>
        </xdr:cNvPr>
        <xdr:cNvPicPr>
          <a:picLocks noChangeAspect="1"/>
        </xdr:cNvPicPr>
      </xdr:nvPicPr>
      <xdr:blipFill>
        <a:blip xmlns:r="http://schemas.openxmlformats.org/officeDocument/2006/relationships" r:embed="rId1"/>
        <a:stretch>
          <a:fillRect/>
        </a:stretch>
      </xdr:blipFill>
      <xdr:spPr>
        <a:xfrm>
          <a:off x="139700" y="14668500"/>
          <a:ext cx="5854700" cy="39577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A6" totalsRowShown="0" headerRowDxfId="14" dataDxfId="13">
  <autoFilter ref="A4:A6" xr:uid="{00000000-0009-0000-0100-000001000000}"/>
  <tableColumns count="1">
    <tableColumn id="1" xr3:uid="{00000000-0010-0000-0000-000001000000}" name="Y/N Responses"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18:A20" totalsRowShown="0" headerRowDxfId="11" dataDxfId="10">
  <autoFilter ref="A18:A20" xr:uid="{00000000-0009-0000-0100-000002000000}"/>
  <tableColumns count="1">
    <tableColumn id="1" xr3:uid="{00000000-0010-0000-0100-000001000000}" name="Y/N Responses" dataDxfId="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4" displayName="Table14" ref="A8:A10" totalsRowShown="0" headerRowDxfId="8" dataDxfId="7">
  <autoFilter ref="A8:A10" xr:uid="{00000000-0009-0000-0100-000003000000}"/>
  <tableColumns count="1">
    <tableColumn id="1" xr3:uid="{00000000-0010-0000-0200-000001000000}" name="Known/Estimated" dataDxfId="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15" displayName="Table15" ref="A12:A14" totalsRowShown="0" headerRowDxfId="5" dataDxfId="4">
  <autoFilter ref="A12:A14" xr:uid="{00000000-0009-0000-0100-000004000000}"/>
  <tableColumns count="1">
    <tableColumn id="1" xr3:uid="{00000000-0010-0000-0300-000001000000}" name="Yes/No Responses" dataDxfId="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136" displayName="Table136" ref="A22:A24" totalsRowShown="0" headerRowDxfId="2" dataDxfId="1">
  <autoFilter ref="A22:A24" xr:uid="{00000000-0009-0000-0100-000005000000}"/>
  <tableColumns count="1">
    <tableColumn id="1" xr3:uid="{00000000-0010-0000-0400-000001000000}" name="Y/N Responses"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uftsmcnewdigs@tuftsmedicine.org" TargetMode="External"/><Relationship Id="rId2" Type="http://schemas.openxmlformats.org/officeDocument/2006/relationships/hyperlink" Target="mailto:tuftsmcnewdigs@tuftsmedicine.org" TargetMode="External"/><Relationship Id="rId1" Type="http://schemas.openxmlformats.org/officeDocument/2006/relationships/hyperlink" Target="mailto:newdigs@mit.edu"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newdigs.tuftsmedicalcenter.org/payingforcures/financing-therapies/precision-financing-solutions/risk-pools/" TargetMode="External"/><Relationship Id="rId3" Type="http://schemas.openxmlformats.org/officeDocument/2006/relationships/hyperlink" Target="https://newdigs.tuftsmedicalcenter.org/payingforcures/financing-therapies/precision-financing-solutions/payment-over-time/" TargetMode="External"/><Relationship Id="rId7" Type="http://schemas.openxmlformats.org/officeDocument/2006/relationships/hyperlink" Target="https://newdigs.tuftsmedicalcenter.org/payingforcures/financing-therapies/precision-financing-solutions/reinsurance/" TargetMode="External"/><Relationship Id="rId2" Type="http://schemas.openxmlformats.org/officeDocument/2006/relationships/hyperlink" Target="https://newdigs.tuftsmedicalcenter.org/payingforcures/financing-therapies/precision-financing-solutions/multiyear-milestone-based-contracts/" TargetMode="External"/><Relationship Id="rId1" Type="http://schemas.openxmlformats.org/officeDocument/2006/relationships/hyperlink" Target="https://newdigs.tuftsmedicalcenter.org/payingforcures/financing-therapies/precision-financing-solutions/milestone-based-contracts/" TargetMode="External"/><Relationship Id="rId6" Type="http://schemas.openxmlformats.org/officeDocument/2006/relationships/hyperlink" Target="https://newdigs.tuftsmedicalcenter.org/payingforcures/financing-therapies/precision-financing-solutions/subscription/" TargetMode="External"/><Relationship Id="rId5" Type="http://schemas.openxmlformats.org/officeDocument/2006/relationships/hyperlink" Target="https://newdigs.tuftsmedicalcenter.org/payingforcures/financing-therapies/precision-financing-solutions/performance-based-annuities/" TargetMode="External"/><Relationship Id="rId10" Type="http://schemas.openxmlformats.org/officeDocument/2006/relationships/drawing" Target="../drawings/drawing2.xml"/><Relationship Id="rId4" Type="http://schemas.openxmlformats.org/officeDocument/2006/relationships/hyperlink" Target="https://newdigs.tuftsmedicalcenter.org/payingforcures/financing-therapies/precision-financing-solutions/warranty/" TargetMode="External"/><Relationship Id="rId9"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63"/>
  <sheetViews>
    <sheetView showGridLines="0" topLeftCell="A124" workbookViewId="0">
      <selection activeCell="A156" sqref="A156:M158"/>
    </sheetView>
  </sheetViews>
  <sheetFormatPr defaultColWidth="8.85546875" defaultRowHeight="15"/>
  <cols>
    <col min="17" max="17" width="17.140625" customWidth="1"/>
  </cols>
  <sheetData>
    <row r="1" spans="1:1">
      <c r="A1" s="18" t="s">
        <v>83</v>
      </c>
    </row>
    <row r="2" spans="1:1" ht="27.75">
      <c r="A2" s="19" t="s">
        <v>84</v>
      </c>
    </row>
    <row r="3" spans="1:1">
      <c r="A3" s="20" t="s">
        <v>85</v>
      </c>
    </row>
    <row r="5" spans="1:1">
      <c r="A5" s="21" t="s">
        <v>86</v>
      </c>
    </row>
    <row r="6" spans="1:1">
      <c r="A6" s="20" t="s">
        <v>87</v>
      </c>
    </row>
    <row r="7" spans="1:1">
      <c r="A7" s="20" t="s">
        <v>372</v>
      </c>
    </row>
    <row r="8" spans="1:1">
      <c r="A8" s="20" t="s">
        <v>373</v>
      </c>
    </row>
    <row r="9" spans="1:1">
      <c r="A9" s="20" t="s">
        <v>88</v>
      </c>
    </row>
    <row r="10" spans="1:1">
      <c r="A10" s="20" t="s">
        <v>89</v>
      </c>
    </row>
    <row r="11" spans="1:1">
      <c r="A11" s="20"/>
    </row>
    <row r="12" spans="1:1">
      <c r="A12" s="21" t="s">
        <v>90</v>
      </c>
    </row>
    <row r="13" spans="1:1">
      <c r="A13" s="20" t="s">
        <v>399</v>
      </c>
    </row>
    <row r="14" spans="1:1">
      <c r="A14" s="20" t="s">
        <v>91</v>
      </c>
    </row>
    <row r="16" spans="1:1">
      <c r="A16" s="21" t="s">
        <v>92</v>
      </c>
    </row>
    <row r="17" spans="1:1">
      <c r="A17" s="22" t="s">
        <v>93</v>
      </c>
    </row>
    <row r="18" spans="1:1">
      <c r="A18" s="23"/>
    </row>
    <row r="19" spans="1:1">
      <c r="A19" s="22" t="s">
        <v>400</v>
      </c>
    </row>
    <row r="20" spans="1:1">
      <c r="A20" s="22" t="s">
        <v>94</v>
      </c>
    </row>
    <row r="21" spans="1:1">
      <c r="A21" s="22" t="s">
        <v>401</v>
      </c>
    </row>
    <row r="22" spans="1:1">
      <c r="A22" s="23"/>
    </row>
    <row r="23" spans="1:1">
      <c r="A23" s="22" t="s">
        <v>402</v>
      </c>
    </row>
    <row r="24" spans="1:1">
      <c r="A24" s="22" t="s">
        <v>403</v>
      </c>
    </row>
    <row r="25" spans="1:1">
      <c r="A25" s="23"/>
    </row>
    <row r="26" spans="1:1">
      <c r="A26" s="22" t="s">
        <v>95</v>
      </c>
    </row>
    <row r="27" spans="1:1">
      <c r="A27" s="23"/>
    </row>
    <row r="28" spans="1:1">
      <c r="A28" s="22" t="s">
        <v>96</v>
      </c>
    </row>
    <row r="29" spans="1:1">
      <c r="A29" s="22" t="s">
        <v>97</v>
      </c>
    </row>
    <row r="31" spans="1:1">
      <c r="A31" s="21" t="s">
        <v>98</v>
      </c>
    </row>
    <row r="32" spans="1:1">
      <c r="A32" s="22" t="s">
        <v>99</v>
      </c>
    </row>
    <row r="33" spans="1:1">
      <c r="A33" s="24" t="s">
        <v>100</v>
      </c>
    </row>
    <row r="34" spans="1:1">
      <c r="A34" s="24" t="s">
        <v>101</v>
      </c>
    </row>
    <row r="35" spans="1:1">
      <c r="A35" s="23"/>
    </row>
    <row r="36" spans="1:1">
      <c r="A36" s="24" t="s">
        <v>102</v>
      </c>
    </row>
    <row r="37" spans="1:1">
      <c r="A37" s="23"/>
    </row>
    <row r="38" spans="1:1">
      <c r="A38" s="24" t="s">
        <v>404</v>
      </c>
    </row>
    <row r="39" spans="1:1">
      <c r="A39" s="24" t="s">
        <v>103</v>
      </c>
    </row>
    <row r="40" spans="1:1">
      <c r="A40" s="23"/>
    </row>
    <row r="41" spans="1:1">
      <c r="A41" s="22" t="s">
        <v>104</v>
      </c>
    </row>
    <row r="42" spans="1:1">
      <c r="A42" s="24" t="s">
        <v>105</v>
      </c>
    </row>
    <row r="43" spans="1:1">
      <c r="A43" s="23"/>
    </row>
    <row r="44" spans="1:1">
      <c r="A44" s="24" t="s">
        <v>405</v>
      </c>
    </row>
    <row r="45" spans="1:1">
      <c r="A45" s="23"/>
    </row>
    <row r="46" spans="1:1">
      <c r="A46" s="24" t="s">
        <v>106</v>
      </c>
    </row>
    <row r="47" spans="1:1">
      <c r="A47" s="23"/>
    </row>
    <row r="48" spans="1:1">
      <c r="A48" s="24" t="s">
        <v>107</v>
      </c>
    </row>
    <row r="49" spans="1:1">
      <c r="A49" s="24" t="s">
        <v>108</v>
      </c>
    </row>
    <row r="50" spans="1:1">
      <c r="A50" s="23"/>
    </row>
    <row r="51" spans="1:1">
      <c r="A51" s="24" t="s">
        <v>109</v>
      </c>
    </row>
    <row r="52" spans="1:1">
      <c r="A52" s="23"/>
    </row>
    <row r="53" spans="1:1">
      <c r="A53" s="24" t="s">
        <v>406</v>
      </c>
    </row>
    <row r="54" spans="1:1">
      <c r="A54" s="23"/>
    </row>
    <row r="55" spans="1:1">
      <c r="A55" s="24" t="s">
        <v>110</v>
      </c>
    </row>
    <row r="57" spans="1:1">
      <c r="A57" s="21" t="s">
        <v>111</v>
      </c>
    </row>
    <row r="58" spans="1:1">
      <c r="A58" s="22" t="s">
        <v>374</v>
      </c>
    </row>
    <row r="59" spans="1:1">
      <c r="A59" s="22" t="s">
        <v>375</v>
      </c>
    </row>
    <row r="60" spans="1:1">
      <c r="A60" s="22" t="s">
        <v>376</v>
      </c>
    </row>
    <row r="61" spans="1:1">
      <c r="A61" s="23"/>
    </row>
    <row r="62" spans="1:1">
      <c r="A62" s="22" t="s">
        <v>112</v>
      </c>
    </row>
    <row r="63" spans="1:1">
      <c r="A63" s="22" t="s">
        <v>113</v>
      </c>
    </row>
    <row r="64" spans="1:1">
      <c r="A64" s="22" t="s">
        <v>114</v>
      </c>
    </row>
    <row r="65" spans="1:1">
      <c r="A65" s="22" t="s">
        <v>115</v>
      </c>
    </row>
    <row r="66" spans="1:1">
      <c r="A66" s="23" t="s">
        <v>377</v>
      </c>
    </row>
    <row r="67" spans="1:1">
      <c r="A67" s="23" t="s">
        <v>116</v>
      </c>
    </row>
    <row r="68" spans="1:1">
      <c r="A68" s="23" t="s">
        <v>117</v>
      </c>
    </row>
    <row r="69" spans="1:1">
      <c r="A69" s="23" t="s">
        <v>378</v>
      </c>
    </row>
    <row r="70" spans="1:1">
      <c r="A70" s="23"/>
    </row>
    <row r="71" spans="1:1">
      <c r="A71" s="22" t="s">
        <v>379</v>
      </c>
    </row>
    <row r="72" spans="1:1">
      <c r="A72" s="22" t="s">
        <v>380</v>
      </c>
    </row>
    <row r="73" spans="1:1">
      <c r="A73" s="22"/>
    </row>
    <row r="74" spans="1:1">
      <c r="A74" s="22" t="s">
        <v>118</v>
      </c>
    </row>
    <row r="75" spans="1:1">
      <c r="A75" s="24" t="s">
        <v>381</v>
      </c>
    </row>
    <row r="76" spans="1:1">
      <c r="A76" s="23"/>
    </row>
    <row r="77" spans="1:1">
      <c r="A77" s="24" t="s">
        <v>119</v>
      </c>
    </row>
    <row r="78" spans="1:1">
      <c r="A78" s="23"/>
    </row>
    <row r="79" spans="1:1">
      <c r="A79" s="24" t="s">
        <v>120</v>
      </c>
    </row>
    <row r="80" spans="1:1">
      <c r="A80" s="23"/>
    </row>
    <row r="81" spans="1:1">
      <c r="A81" s="24" t="s">
        <v>382</v>
      </c>
    </row>
    <row r="82" spans="1:1">
      <c r="A82" s="24" t="s">
        <v>121</v>
      </c>
    </row>
    <row r="84" spans="1:1">
      <c r="A84" s="21" t="s">
        <v>122</v>
      </c>
    </row>
    <row r="85" spans="1:1">
      <c r="A85" s="22" t="s">
        <v>123</v>
      </c>
    </row>
    <row r="86" spans="1:1">
      <c r="A86" s="22" t="s">
        <v>124</v>
      </c>
    </row>
    <row r="87" spans="1:1">
      <c r="A87" s="22" t="s">
        <v>125</v>
      </c>
    </row>
    <row r="88" spans="1:1">
      <c r="A88" s="22" t="s">
        <v>383</v>
      </c>
    </row>
    <row r="89" spans="1:1">
      <c r="A89" s="22" t="s">
        <v>126</v>
      </c>
    </row>
    <row r="90" spans="1:1">
      <c r="A90" s="22" t="s">
        <v>127</v>
      </c>
    </row>
    <row r="91" spans="1:1">
      <c r="A91" s="22" t="s">
        <v>384</v>
      </c>
    </row>
    <row r="92" spans="1:1">
      <c r="A92" s="22" t="s">
        <v>128</v>
      </c>
    </row>
    <row r="93" spans="1:1">
      <c r="A93" s="23"/>
    </row>
    <row r="94" spans="1:1">
      <c r="A94" s="22" t="s">
        <v>385</v>
      </c>
    </row>
    <row r="95" spans="1:1">
      <c r="A95" s="22" t="s">
        <v>386</v>
      </c>
    </row>
    <row r="96" spans="1:1">
      <c r="A96" s="22" t="s">
        <v>129</v>
      </c>
    </row>
    <row r="97" spans="1:1">
      <c r="A97" s="22" t="s">
        <v>130</v>
      </c>
    </row>
    <row r="98" spans="1:1">
      <c r="A98" s="22" t="s">
        <v>131</v>
      </c>
    </row>
    <row r="99" spans="1:1">
      <c r="A99" s="22"/>
    </row>
    <row r="100" spans="1:1">
      <c r="A100" s="22" t="s">
        <v>132</v>
      </c>
    </row>
    <row r="102" spans="1:1">
      <c r="A102" s="21" t="s">
        <v>133</v>
      </c>
    </row>
    <row r="103" spans="1:1">
      <c r="A103" s="22" t="s">
        <v>387</v>
      </c>
    </row>
    <row r="104" spans="1:1">
      <c r="A104" s="22" t="s">
        <v>134</v>
      </c>
    </row>
    <row r="105" spans="1:1">
      <c r="A105" s="22" t="s">
        <v>135</v>
      </c>
    </row>
    <row r="106" spans="1:1">
      <c r="A106" s="22" t="s">
        <v>136</v>
      </c>
    </row>
    <row r="107" spans="1:1">
      <c r="A107" s="22" t="s">
        <v>137</v>
      </c>
    </row>
    <row r="108" spans="1:1">
      <c r="A108" s="23"/>
    </row>
    <row r="109" spans="1:1">
      <c r="A109" s="22" t="s">
        <v>138</v>
      </c>
    </row>
    <row r="111" spans="1:1">
      <c r="A111" s="21" t="s">
        <v>139</v>
      </c>
    </row>
    <row r="112" spans="1:1">
      <c r="A112" s="20" t="s">
        <v>388</v>
      </c>
    </row>
    <row r="113" spans="1:1">
      <c r="A113" s="20" t="s">
        <v>140</v>
      </c>
    </row>
    <row r="114" spans="1:1">
      <c r="A114" s="20" t="s">
        <v>141</v>
      </c>
    </row>
    <row r="115" spans="1:1">
      <c r="A115" s="20" t="s">
        <v>142</v>
      </c>
    </row>
    <row r="117" spans="1:1">
      <c r="A117" s="21" t="s">
        <v>143</v>
      </c>
    </row>
    <row r="118" spans="1:1">
      <c r="A118" s="20" t="s">
        <v>389</v>
      </c>
    </row>
    <row r="119" spans="1:1">
      <c r="A119" s="20" t="s">
        <v>144</v>
      </c>
    </row>
    <row r="121" spans="1:1">
      <c r="A121" s="21" t="s">
        <v>145</v>
      </c>
    </row>
    <row r="122" spans="1:1">
      <c r="A122" s="20" t="s">
        <v>390</v>
      </c>
    </row>
    <row r="123" spans="1:1">
      <c r="A123" s="20" t="s">
        <v>146</v>
      </c>
    </row>
    <row r="125" spans="1:1">
      <c r="A125" s="21" t="s">
        <v>147</v>
      </c>
    </row>
    <row r="126" spans="1:1">
      <c r="A126" s="20" t="s">
        <v>391</v>
      </c>
    </row>
    <row r="127" spans="1:1">
      <c r="A127" s="20" t="s">
        <v>148</v>
      </c>
    </row>
    <row r="128" spans="1:1">
      <c r="A128" s="20" t="s">
        <v>149</v>
      </c>
    </row>
    <row r="130" spans="1:1">
      <c r="A130" s="21" t="s">
        <v>150</v>
      </c>
    </row>
    <row r="131" spans="1:1">
      <c r="A131" s="20" t="s">
        <v>392</v>
      </c>
    </row>
    <row r="132" spans="1:1">
      <c r="A132" s="20" t="s">
        <v>393</v>
      </c>
    </row>
    <row r="133" spans="1:1">
      <c r="A133" s="20" t="s">
        <v>394</v>
      </c>
    </row>
    <row r="135" spans="1:1">
      <c r="A135" s="21" t="s">
        <v>151</v>
      </c>
    </row>
    <row r="136" spans="1:1">
      <c r="A136" s="20" t="s">
        <v>152</v>
      </c>
    </row>
    <row r="137" spans="1:1">
      <c r="A137" s="20" t="s">
        <v>153</v>
      </c>
    </row>
    <row r="138" spans="1:1">
      <c r="A138" s="20" t="s">
        <v>154</v>
      </c>
    </row>
    <row r="140" spans="1:1">
      <c r="A140" s="21" t="s">
        <v>155</v>
      </c>
    </row>
    <row r="141" spans="1:1">
      <c r="A141" s="20" t="s">
        <v>156</v>
      </c>
    </row>
    <row r="142" spans="1:1">
      <c r="A142" s="20" t="s">
        <v>157</v>
      </c>
    </row>
    <row r="143" spans="1:1">
      <c r="A143" s="20" t="s">
        <v>158</v>
      </c>
    </row>
    <row r="145" spans="1:13">
      <c r="A145" s="21" t="s">
        <v>159</v>
      </c>
    </row>
    <row r="146" spans="1:13">
      <c r="A146" s="20" t="s">
        <v>160</v>
      </c>
    </row>
    <row r="147" spans="1:13">
      <c r="A147" s="20" t="s">
        <v>161</v>
      </c>
    </row>
    <row r="149" spans="1:13">
      <c r="A149" s="21" t="s">
        <v>162</v>
      </c>
    </row>
    <row r="150" spans="1:13">
      <c r="A150" s="20" t="s">
        <v>395</v>
      </c>
    </row>
    <row r="151" spans="1:13">
      <c r="A151" s="20" t="s">
        <v>396</v>
      </c>
    </row>
    <row r="152" spans="1:13">
      <c r="A152" s="20" t="s">
        <v>163</v>
      </c>
    </row>
    <row r="153" spans="1:13">
      <c r="A153" s="20" t="s">
        <v>164</v>
      </c>
    </row>
    <row r="155" spans="1:13">
      <c r="A155" s="21" t="s">
        <v>165</v>
      </c>
    </row>
    <row r="156" spans="1:13">
      <c r="A156" s="111" t="s">
        <v>397</v>
      </c>
      <c r="B156" s="111"/>
      <c r="C156" s="111"/>
      <c r="D156" s="111"/>
      <c r="E156" s="111"/>
      <c r="F156" s="111"/>
      <c r="G156" s="111"/>
      <c r="H156" s="111"/>
      <c r="I156" s="111"/>
      <c r="J156" s="111"/>
      <c r="K156" s="111"/>
      <c r="L156" s="111"/>
      <c r="M156" s="111"/>
    </row>
    <row r="157" spans="1:13">
      <c r="A157" s="111"/>
      <c r="B157" s="111"/>
      <c r="C157" s="111"/>
      <c r="D157" s="111"/>
      <c r="E157" s="111"/>
      <c r="F157" s="111"/>
      <c r="G157" s="111"/>
      <c r="H157" s="111"/>
      <c r="I157" s="111"/>
      <c r="J157" s="111"/>
      <c r="K157" s="111"/>
      <c r="L157" s="111"/>
      <c r="M157" s="111"/>
    </row>
    <row r="158" spans="1:13">
      <c r="A158" s="111"/>
      <c r="B158" s="111"/>
      <c r="C158" s="111"/>
      <c r="D158" s="111"/>
      <c r="E158" s="111"/>
      <c r="F158" s="111"/>
      <c r="G158" s="111"/>
      <c r="H158" s="111"/>
      <c r="I158" s="111"/>
      <c r="J158" s="111"/>
      <c r="K158" s="111"/>
      <c r="L158" s="111"/>
      <c r="M158" s="111"/>
    </row>
    <row r="159" spans="1:13">
      <c r="A159" s="23"/>
    </row>
    <row r="160" spans="1:13">
      <c r="A160" s="111" t="s">
        <v>398</v>
      </c>
      <c r="B160" s="111"/>
      <c r="C160" s="111"/>
      <c r="D160" s="111"/>
      <c r="E160" s="111"/>
      <c r="F160" s="111"/>
      <c r="G160" s="111"/>
      <c r="H160" s="111"/>
      <c r="I160" s="111"/>
      <c r="J160" s="111"/>
      <c r="K160" s="111"/>
      <c r="L160" s="111"/>
      <c r="M160" s="111"/>
    </row>
    <row r="161" spans="1:13">
      <c r="A161" s="111"/>
      <c r="B161" s="111"/>
      <c r="C161" s="111"/>
      <c r="D161" s="111"/>
      <c r="E161" s="111"/>
      <c r="F161" s="111"/>
      <c r="G161" s="111"/>
      <c r="H161" s="111"/>
      <c r="I161" s="111"/>
      <c r="J161" s="111"/>
      <c r="K161" s="111"/>
      <c r="L161" s="111"/>
      <c r="M161" s="111"/>
    </row>
    <row r="163" spans="1:13">
      <c r="A163" s="20" t="s">
        <v>166</v>
      </c>
    </row>
  </sheetData>
  <sheetProtection sheet="1" selectLockedCells="1"/>
  <mergeCells count="2">
    <mergeCell ref="A156:M158"/>
    <mergeCell ref="A160:M161"/>
  </mergeCells>
  <hyperlinks>
    <hyperlink ref="A156" r:id="rId1" display="mailto:newdigs@mit.edu" xr:uid="{077DBD52-0A17-453E-A3F5-7E75F1398458}"/>
    <hyperlink ref="A160" r:id="rId2" display="2. ​All other feedback and comments concerning the Site and the Content, or other general inquiries related to NEWDIGS " xr:uid="{3A80CCAE-A2E3-4C5A-8CC2-65CDA8EF21CB}"/>
    <hyperlink ref="A156:M158" r:id="rId3" display="1. The Site is operated by the FoCUS Project within NEWDIGS at Tufts Medical Center.  All technical issues or questions may be directed to tuftsmcnewdigs@tuftsmedicalcenter.org provided that Tufts Medical Center is under no obligation to respond to your e" xr:uid="{64B36AFC-1EC2-41DE-A439-7FC2344B51DB}"/>
  </hyperlinks>
  <pageMargins left="0.7" right="0.7" top="0.75" bottom="0.75" header="0.3" footer="0.3"/>
  <pageSetup scale="56" fitToHeight="0" orientation="portrait"/>
  <headerFooter>
    <oddFooter>&amp;CSubject to Terms of Use
MIT CENTER FOR BIOMEDICAL INNOVATION
NEWDIGS/FoCUS</oddFooter>
  </headerFooter>
  <rowBreaks count="1" manualBreakCount="1">
    <brk id="73" max="16383"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177"/>
  <sheetViews>
    <sheetView showGridLines="0" tabSelected="1" zoomScale="90" zoomScaleNormal="90" zoomScalePageLayoutView="90" workbookViewId="0">
      <selection activeCell="E160" sqref="E160"/>
    </sheetView>
  </sheetViews>
  <sheetFormatPr defaultColWidth="8.85546875" defaultRowHeight="15"/>
  <sheetData>
    <row r="1" spans="1:1">
      <c r="A1" s="110" t="s">
        <v>413</v>
      </c>
    </row>
    <row r="2" spans="1:1">
      <c r="A2" s="110" t="s">
        <v>412</v>
      </c>
    </row>
    <row r="3" spans="1:1" ht="35.1" customHeight="1">
      <c r="A3" s="17" t="s">
        <v>167</v>
      </c>
    </row>
    <row r="4" spans="1:1">
      <c r="A4" t="s">
        <v>171</v>
      </c>
    </row>
    <row r="5" spans="1:1">
      <c r="A5" t="s">
        <v>172</v>
      </c>
    </row>
    <row r="6" spans="1:1">
      <c r="A6" t="s">
        <v>173</v>
      </c>
    </row>
    <row r="7" spans="1:1">
      <c r="A7" t="s">
        <v>174</v>
      </c>
    </row>
    <row r="8" spans="1:1">
      <c r="A8" t="s">
        <v>175</v>
      </c>
    </row>
    <row r="10" spans="1:1">
      <c r="A10" s="31" t="s">
        <v>168</v>
      </c>
    </row>
    <row r="11" spans="1:1">
      <c r="A11" s="1" t="s">
        <v>169</v>
      </c>
    </row>
    <row r="13" spans="1:1">
      <c r="A13" t="s">
        <v>170</v>
      </c>
    </row>
    <row r="30" spans="1:1">
      <c r="A30" t="s">
        <v>176</v>
      </c>
    </row>
    <row r="31" spans="1:1">
      <c r="A31" s="1"/>
    </row>
    <row r="39" spans="1:2">
      <c r="A39" t="s">
        <v>177</v>
      </c>
    </row>
    <row r="40" spans="1:2">
      <c r="A40" t="s">
        <v>178</v>
      </c>
    </row>
    <row r="41" spans="1:2">
      <c r="A41" t="s">
        <v>179</v>
      </c>
    </row>
    <row r="42" spans="1:2">
      <c r="A42" t="s">
        <v>180</v>
      </c>
    </row>
    <row r="43" spans="1:2">
      <c r="A43" t="s">
        <v>181</v>
      </c>
    </row>
    <row r="44" spans="1:2">
      <c r="A44" t="s">
        <v>182</v>
      </c>
    </row>
    <row r="48" spans="1:2" ht="15.75">
      <c r="A48" s="1" t="s">
        <v>190</v>
      </c>
      <c r="B48" s="25"/>
    </row>
    <row r="49" spans="1:2" ht="15.75">
      <c r="A49" t="s">
        <v>192</v>
      </c>
      <c r="B49" s="25"/>
    </row>
    <row r="50" spans="1:2" ht="15.75">
      <c r="B50" s="25"/>
    </row>
    <row r="51" spans="1:2">
      <c r="A51" t="s">
        <v>370</v>
      </c>
    </row>
    <row r="52" spans="1:2">
      <c r="A52" t="s">
        <v>193</v>
      </c>
    </row>
    <row r="53" spans="1:2">
      <c r="A53" t="s">
        <v>194</v>
      </c>
    </row>
    <row r="55" spans="1:2">
      <c r="A55" s="1" t="s">
        <v>191</v>
      </c>
    </row>
    <row r="56" spans="1:2" ht="15.75">
      <c r="A56" s="26"/>
    </row>
    <row r="57" spans="1:2" ht="15.75">
      <c r="A57" s="26"/>
    </row>
    <row r="58" spans="1:2" ht="15.75">
      <c r="A58" s="26"/>
    </row>
    <row r="59" spans="1:2" ht="15.75">
      <c r="A59" s="26"/>
    </row>
    <row r="60" spans="1:2" ht="15.75">
      <c r="A60" s="26"/>
    </row>
    <row r="61" spans="1:2" ht="15.75">
      <c r="A61" s="26"/>
    </row>
    <row r="62" spans="1:2" ht="15.75">
      <c r="A62" s="26"/>
    </row>
    <row r="63" spans="1:2" ht="15.75">
      <c r="A63" s="26"/>
    </row>
    <row r="64" spans="1:2" ht="15.75">
      <c r="A64" s="26"/>
    </row>
    <row r="65" spans="1:1" ht="15.75">
      <c r="A65" s="26"/>
    </row>
    <row r="66" spans="1:1" ht="15.75">
      <c r="A66" s="26"/>
    </row>
    <row r="70" spans="1:1">
      <c r="A70" t="s">
        <v>230</v>
      </c>
    </row>
    <row r="71" spans="1:1">
      <c r="A71" t="s">
        <v>231</v>
      </c>
    </row>
    <row r="72" spans="1:1">
      <c r="A72" t="s">
        <v>232</v>
      </c>
    </row>
    <row r="73" spans="1:1">
      <c r="A73" t="s">
        <v>233</v>
      </c>
    </row>
    <row r="74" spans="1:1">
      <c r="A74" t="s">
        <v>234</v>
      </c>
    </row>
    <row r="75" spans="1:1">
      <c r="A75" s="15" t="s">
        <v>235</v>
      </c>
    </row>
    <row r="76" spans="1:1">
      <c r="A76" s="15" t="s">
        <v>236</v>
      </c>
    </row>
    <row r="77" spans="1:1">
      <c r="A77" s="15"/>
    </row>
    <row r="78" spans="1:1">
      <c r="A78" s="15" t="s">
        <v>237</v>
      </c>
    </row>
    <row r="79" spans="1:1">
      <c r="A79" s="15" t="s">
        <v>238</v>
      </c>
    </row>
    <row r="80" spans="1:1">
      <c r="A80" s="15" t="s">
        <v>239</v>
      </c>
    </row>
    <row r="81" spans="1:2">
      <c r="A81" s="15" t="s">
        <v>240</v>
      </c>
    </row>
    <row r="82" spans="1:2">
      <c r="A82" s="14" t="s">
        <v>241</v>
      </c>
    </row>
    <row r="83" spans="1:2">
      <c r="A83" s="14" t="s">
        <v>242</v>
      </c>
    </row>
    <row r="84" spans="1:2">
      <c r="A84" s="14" t="s">
        <v>243</v>
      </c>
    </row>
    <row r="85" spans="1:2">
      <c r="B85" s="14" t="s">
        <v>244</v>
      </c>
    </row>
    <row r="86" spans="1:2">
      <c r="B86" s="14" t="s">
        <v>245</v>
      </c>
    </row>
    <row r="87" spans="1:2">
      <c r="B87" s="14" t="s">
        <v>246</v>
      </c>
    </row>
    <row r="88" spans="1:2">
      <c r="A88" s="14" t="s">
        <v>247</v>
      </c>
    </row>
    <row r="89" spans="1:2">
      <c r="A89" s="14"/>
    </row>
    <row r="90" spans="1:2">
      <c r="A90" t="s">
        <v>248</v>
      </c>
    </row>
    <row r="91" spans="1:2">
      <c r="A91" t="s">
        <v>249</v>
      </c>
    </row>
    <row r="92" spans="1:2">
      <c r="A92" t="s">
        <v>250</v>
      </c>
    </row>
    <row r="94" spans="1:2">
      <c r="A94" t="s">
        <v>251</v>
      </c>
    </row>
    <row r="95" spans="1:2">
      <c r="A95" s="14" t="s">
        <v>252</v>
      </c>
    </row>
    <row r="96" spans="1:2">
      <c r="A96" t="s">
        <v>253</v>
      </c>
    </row>
    <row r="97" spans="1:1">
      <c r="A97" s="27" t="s">
        <v>254</v>
      </c>
    </row>
    <row r="98" spans="1:1">
      <c r="A98" t="s">
        <v>255</v>
      </c>
    </row>
    <row r="99" spans="1:1">
      <c r="A99" t="s">
        <v>256</v>
      </c>
    </row>
    <row r="101" spans="1:1">
      <c r="A101" t="s">
        <v>257</v>
      </c>
    </row>
    <row r="102" spans="1:1">
      <c r="A102" t="s">
        <v>258</v>
      </c>
    </row>
    <row r="104" spans="1:1">
      <c r="A104" t="s">
        <v>195</v>
      </c>
    </row>
    <row r="105" spans="1:1">
      <c r="A105" t="s">
        <v>196</v>
      </c>
    </row>
    <row r="106" spans="1:1">
      <c r="A106" t="s">
        <v>197</v>
      </c>
    </row>
    <row r="107" spans="1:1">
      <c r="A107" t="s">
        <v>259</v>
      </c>
    </row>
    <row r="108" spans="1:1">
      <c r="A108" t="s">
        <v>260</v>
      </c>
    </row>
    <row r="109" spans="1:1">
      <c r="A109" t="s">
        <v>261</v>
      </c>
    </row>
    <row r="110" spans="1:1">
      <c r="A110" t="s">
        <v>414</v>
      </c>
    </row>
    <row r="111" spans="1:1">
      <c r="A111" t="s">
        <v>262</v>
      </c>
    </row>
    <row r="112" spans="1:1">
      <c r="A112" t="s">
        <v>263</v>
      </c>
    </row>
    <row r="113" spans="1:1">
      <c r="A113" t="s">
        <v>264</v>
      </c>
    </row>
    <row r="114" spans="1:1">
      <c r="A114" t="s">
        <v>265</v>
      </c>
    </row>
    <row r="115" spans="1:1">
      <c r="A115" t="s">
        <v>266</v>
      </c>
    </row>
    <row r="116" spans="1:1">
      <c r="A116" t="s">
        <v>267</v>
      </c>
    </row>
    <row r="117" spans="1:1">
      <c r="A117" t="s">
        <v>268</v>
      </c>
    </row>
    <row r="118" spans="1:1">
      <c r="A118" t="s">
        <v>269</v>
      </c>
    </row>
    <row r="119" spans="1:1">
      <c r="A119" t="s">
        <v>270</v>
      </c>
    </row>
    <row r="120" spans="1:1">
      <c r="A120" t="s">
        <v>271</v>
      </c>
    </row>
    <row r="122" spans="1:1">
      <c r="A122" t="s">
        <v>198</v>
      </c>
    </row>
    <row r="123" spans="1:1">
      <c r="A123" t="s">
        <v>199</v>
      </c>
    </row>
    <row r="124" spans="1:1">
      <c r="A124" t="s">
        <v>200</v>
      </c>
    </row>
    <row r="125" spans="1:1">
      <c r="A125" t="s">
        <v>201</v>
      </c>
    </row>
    <row r="126" spans="1:1">
      <c r="A126" t="s">
        <v>202</v>
      </c>
    </row>
    <row r="127" spans="1:1">
      <c r="A127" t="s">
        <v>203</v>
      </c>
    </row>
    <row r="128" spans="1:1">
      <c r="A128" t="s">
        <v>204</v>
      </c>
    </row>
    <row r="129" spans="1:1">
      <c r="A129" t="s">
        <v>205</v>
      </c>
    </row>
    <row r="130" spans="1:1">
      <c r="A130" t="s">
        <v>206</v>
      </c>
    </row>
    <row r="131" spans="1:1">
      <c r="A131" t="s">
        <v>207</v>
      </c>
    </row>
    <row r="132" spans="1:1">
      <c r="A132" t="s">
        <v>208</v>
      </c>
    </row>
    <row r="133" spans="1:1">
      <c r="A133" t="s">
        <v>209</v>
      </c>
    </row>
    <row r="135" spans="1:1">
      <c r="A135" t="s">
        <v>210</v>
      </c>
    </row>
    <row r="136" spans="1:1">
      <c r="A136" t="s">
        <v>211</v>
      </c>
    </row>
    <row r="137" spans="1:1">
      <c r="A137" t="s">
        <v>212</v>
      </c>
    </row>
    <row r="139" spans="1:1">
      <c r="A139" t="s">
        <v>213</v>
      </c>
    </row>
    <row r="140" spans="1:1">
      <c r="A140" t="s">
        <v>214</v>
      </c>
    </row>
    <row r="141" spans="1:1">
      <c r="A141" t="s">
        <v>215</v>
      </c>
    </row>
    <row r="142" spans="1:1">
      <c r="A142" t="s">
        <v>216</v>
      </c>
    </row>
    <row r="143" spans="1:1">
      <c r="A143" t="s">
        <v>217</v>
      </c>
    </row>
    <row r="144" spans="1:1">
      <c r="A144" t="s">
        <v>218</v>
      </c>
    </row>
    <row r="145" spans="1:1">
      <c r="A145" t="s">
        <v>219</v>
      </c>
    </row>
    <row r="146" spans="1:1">
      <c r="A146" t="s">
        <v>220</v>
      </c>
    </row>
    <row r="148" spans="1:1">
      <c r="A148" t="s">
        <v>221</v>
      </c>
    </row>
    <row r="149" spans="1:1">
      <c r="A149" t="s">
        <v>222</v>
      </c>
    </row>
    <row r="150" spans="1:1">
      <c r="A150" t="s">
        <v>223</v>
      </c>
    </row>
    <row r="151" spans="1:1">
      <c r="A151" t="s">
        <v>415</v>
      </c>
    </row>
    <row r="152" spans="1:1">
      <c r="A152" t="s">
        <v>416</v>
      </c>
    </row>
    <row r="153" spans="1:1">
      <c r="A153" t="s">
        <v>417</v>
      </c>
    </row>
    <row r="154" spans="1:1">
      <c r="A154" t="s">
        <v>418</v>
      </c>
    </row>
    <row r="155" spans="1:1">
      <c r="A155" t="s">
        <v>371</v>
      </c>
    </row>
    <row r="156" spans="1:1">
      <c r="A156" t="s">
        <v>224</v>
      </c>
    </row>
    <row r="157" spans="1:1">
      <c r="A157" t="s">
        <v>225</v>
      </c>
    </row>
    <row r="158" spans="1:1">
      <c r="A158" t="s">
        <v>226</v>
      </c>
    </row>
    <row r="159" spans="1:1">
      <c r="A159" t="s">
        <v>227</v>
      </c>
    </row>
    <row r="161" spans="1:1">
      <c r="A161" s="28" t="s">
        <v>273</v>
      </c>
    </row>
    <row r="162" spans="1:1">
      <c r="A162" s="28" t="s">
        <v>274</v>
      </c>
    </row>
    <row r="163" spans="1:1">
      <c r="A163" s="30" t="s">
        <v>275</v>
      </c>
    </row>
    <row r="164" spans="1:1">
      <c r="A164" s="30" t="s">
        <v>276</v>
      </c>
    </row>
    <row r="165" spans="1:1">
      <c r="A165" s="29"/>
    </row>
    <row r="166" spans="1:1">
      <c r="A166" s="28" t="s">
        <v>272</v>
      </c>
    </row>
    <row r="167" spans="1:1">
      <c r="A167" s="28"/>
    </row>
    <row r="168" spans="1:1">
      <c r="A168" s="28" t="s">
        <v>277</v>
      </c>
    </row>
    <row r="169" spans="1:1">
      <c r="A169" t="s">
        <v>278</v>
      </c>
    </row>
    <row r="170" spans="1:1">
      <c r="A170" t="s">
        <v>279</v>
      </c>
    </row>
    <row r="172" spans="1:1">
      <c r="A172" t="s">
        <v>228</v>
      </c>
    </row>
    <row r="173" spans="1:1">
      <c r="A173" t="s">
        <v>407</v>
      </c>
    </row>
    <row r="174" spans="1:1">
      <c r="A174" t="s">
        <v>408</v>
      </c>
    </row>
    <row r="175" spans="1:1">
      <c r="A175" t="s">
        <v>410</v>
      </c>
    </row>
    <row r="176" spans="1:1">
      <c r="A176" t="s">
        <v>409</v>
      </c>
    </row>
    <row r="177" spans="1:1">
      <c r="A177" t="s">
        <v>229</v>
      </c>
    </row>
  </sheetData>
  <sheetProtection sheet="1" selectLockedCells="1"/>
  <pageMargins left="0.7" right="0.7" top="0.75" bottom="0.75" header="0.3" footer="0.3"/>
  <pageSetup scale="67" fitToHeight="0" orientation="portrait"/>
  <headerFooter>
    <oddFooter>&amp;CSubject to Terms of Use
MIT CENTER FOR BIOMEDICAL INNOVATION
NEWDIGS/FoCUS</oddFooter>
  </headerFooter>
  <rowBreaks count="1" manualBreakCount="1">
    <brk id="47" max="14" man="1"/>
  </row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1:O113"/>
  <sheetViews>
    <sheetView showGridLines="0" zoomScale="80" zoomScaleNormal="80" workbookViewId="0">
      <selection activeCell="A22" sqref="A22"/>
    </sheetView>
  </sheetViews>
  <sheetFormatPr defaultColWidth="9.140625" defaultRowHeight="15"/>
  <cols>
    <col min="1" max="1" width="50.140625" customWidth="1"/>
    <col min="2" max="2" width="13.42578125" customWidth="1"/>
    <col min="3" max="3" width="14.85546875" customWidth="1"/>
    <col min="4" max="14" width="13.85546875" bestFit="1" customWidth="1"/>
    <col min="15" max="15" width="13.42578125" customWidth="1"/>
  </cols>
  <sheetData>
    <row r="1" spans="1:15" ht="21" customHeight="1">
      <c r="A1" s="60" t="s">
        <v>80</v>
      </c>
      <c r="B1" s="61"/>
      <c r="C1" s="61"/>
      <c r="D1" s="61"/>
      <c r="E1" s="61"/>
      <c r="F1" s="61"/>
      <c r="G1" s="61"/>
      <c r="H1" s="61"/>
      <c r="I1" s="61"/>
    </row>
    <row r="2" spans="1:15" ht="12.95" customHeight="1">
      <c r="A2" s="61"/>
      <c r="B2" s="61"/>
      <c r="C2" s="61"/>
      <c r="D2" s="61"/>
      <c r="E2" s="61"/>
      <c r="F2" s="61"/>
      <c r="G2" s="61"/>
      <c r="H2" s="61"/>
      <c r="I2" s="61"/>
    </row>
    <row r="3" spans="1:15" ht="16.7" customHeight="1">
      <c r="A3" s="15" t="s">
        <v>81</v>
      </c>
      <c r="B3" s="61"/>
      <c r="C3" s="61"/>
      <c r="D3" s="61"/>
      <c r="E3" s="61"/>
      <c r="F3" s="61"/>
      <c r="G3" s="61"/>
      <c r="H3" s="61"/>
      <c r="I3" s="61"/>
    </row>
    <row r="4" spans="1:15" ht="14.45" customHeight="1">
      <c r="A4" s="15" t="s">
        <v>77</v>
      </c>
      <c r="B4" s="61"/>
      <c r="C4" s="61"/>
      <c r="D4" s="61"/>
      <c r="E4" s="61"/>
      <c r="F4" s="61"/>
      <c r="G4" s="61"/>
      <c r="H4" s="61"/>
    </row>
    <row r="5" spans="1:15" ht="14.45" customHeight="1">
      <c r="A5" s="15"/>
      <c r="B5" s="61"/>
      <c r="C5" s="61"/>
      <c r="D5" s="61"/>
      <c r="E5" s="61"/>
      <c r="F5" s="61"/>
      <c r="G5" s="61"/>
      <c r="H5" s="61"/>
    </row>
    <row r="6" spans="1:15">
      <c r="A6" s="15" t="s">
        <v>311</v>
      </c>
      <c r="B6" s="15"/>
      <c r="C6" s="15"/>
      <c r="D6" s="15"/>
      <c r="E6" s="15"/>
      <c r="F6" s="15"/>
      <c r="G6" s="15"/>
      <c r="H6" s="15"/>
      <c r="I6" s="15"/>
      <c r="J6" s="15"/>
      <c r="K6" s="62"/>
      <c r="L6" s="62"/>
    </row>
    <row r="7" spans="1:15" ht="21" customHeight="1">
      <c r="A7" s="63"/>
      <c r="B7" s="61"/>
      <c r="C7" s="61"/>
      <c r="D7" s="61"/>
      <c r="E7" s="61"/>
      <c r="F7" s="61"/>
      <c r="G7" s="61"/>
      <c r="H7" s="61"/>
    </row>
    <row r="8" spans="1:15">
      <c r="A8" s="120" t="s">
        <v>317</v>
      </c>
      <c r="B8" s="120"/>
      <c r="C8" s="120"/>
      <c r="D8" s="120"/>
      <c r="E8" s="120"/>
      <c r="F8" s="120"/>
      <c r="G8" s="120"/>
      <c r="H8" s="120"/>
      <c r="I8" s="120"/>
      <c r="J8" s="120"/>
      <c r="K8" s="64"/>
    </row>
    <row r="9" spans="1:15">
      <c r="A9" s="65" t="s">
        <v>316</v>
      </c>
    </row>
    <row r="10" spans="1:15" ht="44.1" customHeight="1">
      <c r="A10" s="117" t="s">
        <v>342</v>
      </c>
      <c r="B10" s="117"/>
      <c r="C10" s="117"/>
      <c r="D10" s="117"/>
      <c r="E10" s="117"/>
      <c r="F10" s="117"/>
      <c r="G10" s="117"/>
      <c r="H10" s="117"/>
      <c r="I10" s="117"/>
      <c r="J10" s="117"/>
      <c r="K10" s="62"/>
      <c r="L10" s="62"/>
      <c r="M10" s="62"/>
      <c r="N10" s="62"/>
      <c r="O10" s="62"/>
    </row>
    <row r="11" spans="1:15" ht="33" customHeight="1">
      <c r="A11" s="116" t="s">
        <v>312</v>
      </c>
      <c r="B11" s="116"/>
      <c r="C11" s="116"/>
      <c r="D11" s="116"/>
      <c r="E11" s="116"/>
      <c r="F11" s="116"/>
      <c r="G11" s="116"/>
      <c r="H11" s="116"/>
      <c r="I11" s="116"/>
      <c r="J11" s="116"/>
      <c r="K11" s="62"/>
      <c r="L11" s="62"/>
      <c r="M11" s="62"/>
      <c r="N11" s="62"/>
      <c r="O11" s="62"/>
    </row>
    <row r="12" spans="1:15" ht="15" customHeight="1">
      <c r="A12" s="66"/>
      <c r="F12" s="124" t="s">
        <v>349</v>
      </c>
      <c r="G12" s="124"/>
      <c r="H12" s="124"/>
      <c r="I12" s="124"/>
      <c r="J12" s="124"/>
      <c r="K12" s="62"/>
      <c r="L12" s="62"/>
      <c r="M12" s="62"/>
      <c r="N12" s="62"/>
    </row>
    <row r="13" spans="1:15" ht="15" customHeight="1">
      <c r="A13" s="67" t="s">
        <v>323</v>
      </c>
      <c r="F13" s="66"/>
      <c r="G13" s="68"/>
      <c r="H13" s="121"/>
      <c r="I13" s="121"/>
      <c r="J13" s="62"/>
      <c r="K13" s="62"/>
      <c r="L13" s="62"/>
      <c r="M13" s="62"/>
      <c r="N13" s="62"/>
    </row>
    <row r="14" spans="1:15" ht="45" customHeight="1" thickBot="1">
      <c r="A14" s="66"/>
      <c r="F14" s="66"/>
      <c r="G14" s="69" t="s">
        <v>324</v>
      </c>
      <c r="H14" s="122" t="s">
        <v>325</v>
      </c>
      <c r="I14" s="123"/>
      <c r="J14" s="62"/>
      <c r="K14" s="62"/>
      <c r="L14" s="62"/>
      <c r="M14" s="62"/>
      <c r="N14" s="62"/>
    </row>
    <row r="15" spans="1:15" ht="14.45" customHeight="1">
      <c r="A15" s="116" t="s">
        <v>343</v>
      </c>
      <c r="G15" s="70">
        <v>2500000</v>
      </c>
      <c r="H15" s="128" t="s">
        <v>326</v>
      </c>
      <c r="I15" s="129"/>
    </row>
    <row r="16" spans="1:15" ht="14.45" customHeight="1">
      <c r="A16" s="116"/>
      <c r="G16" s="71">
        <v>800000</v>
      </c>
      <c r="H16" s="130" t="s">
        <v>328</v>
      </c>
      <c r="I16" s="131"/>
    </row>
    <row r="17" spans="1:14" ht="14.45" customHeight="1">
      <c r="A17" s="116"/>
      <c r="G17" s="71">
        <v>800000</v>
      </c>
      <c r="H17" s="130" t="s">
        <v>352</v>
      </c>
      <c r="I17" s="131"/>
    </row>
    <row r="18" spans="1:14" ht="14.45" customHeight="1">
      <c r="A18" s="127"/>
      <c r="G18" s="71">
        <v>500000</v>
      </c>
      <c r="H18" s="112" t="s">
        <v>330</v>
      </c>
      <c r="I18" s="113"/>
    </row>
    <row r="19" spans="1:14" ht="14.45" customHeight="1">
      <c r="G19" s="71">
        <v>400000</v>
      </c>
      <c r="H19" s="125" t="s">
        <v>354</v>
      </c>
      <c r="I19" s="126"/>
    </row>
    <row r="20" spans="1:14" ht="14.45" customHeight="1">
      <c r="A20" s="72" t="s">
        <v>322</v>
      </c>
      <c r="G20" s="71">
        <v>100000</v>
      </c>
      <c r="H20" s="112" t="s">
        <v>353</v>
      </c>
      <c r="I20" s="113"/>
    </row>
    <row r="21" spans="1:14" ht="14.45" customHeight="1" thickBot="1">
      <c r="A21" s="66"/>
      <c r="C21" s="68"/>
      <c r="D21" s="73"/>
      <c r="E21" s="73"/>
      <c r="G21" s="74">
        <v>50000</v>
      </c>
      <c r="H21" s="114" t="s">
        <v>329</v>
      </c>
      <c r="I21" s="115"/>
    </row>
    <row r="22" spans="1:14" ht="14.45" customHeight="1">
      <c r="A22" s="104" t="s">
        <v>283</v>
      </c>
      <c r="C22" s="66" t="s">
        <v>327</v>
      </c>
      <c r="D22" s="66"/>
      <c r="E22" s="66"/>
      <c r="F22" s="66"/>
      <c r="G22" s="66"/>
      <c r="H22" s="116"/>
      <c r="I22" s="116"/>
    </row>
    <row r="23" spans="1:14" ht="14.45" customHeight="1">
      <c r="C23" s="66"/>
      <c r="D23" s="66"/>
      <c r="E23" s="66"/>
      <c r="F23" s="66"/>
      <c r="G23" s="66"/>
      <c r="H23" s="66"/>
      <c r="I23" s="66"/>
    </row>
    <row r="24" spans="1:14" ht="14.45" customHeight="1">
      <c r="A24" t="s">
        <v>314</v>
      </c>
      <c r="C24" s="66"/>
      <c r="D24" s="66"/>
      <c r="E24" s="66"/>
      <c r="F24" s="66"/>
      <c r="G24" s="66"/>
      <c r="H24" s="66"/>
      <c r="I24" s="66"/>
    </row>
    <row r="25" spans="1:14" ht="14.45" customHeight="1">
      <c r="A25" t="s">
        <v>315</v>
      </c>
    </row>
    <row r="26" spans="1:14" ht="14.45" customHeight="1">
      <c r="A26" s="62"/>
    </row>
    <row r="27" spans="1:14">
      <c r="A27" s="1" t="str">
        <f>CONCATENATE("Estimated population for """&amp;$A$22&amp;"""")</f>
        <v>Estimated population for "Medicare"</v>
      </c>
      <c r="B27" s="39">
        <f>'Hidden Drop Down Lists'!$C$32</f>
        <v>63200000</v>
      </c>
    </row>
    <row r="29" spans="1:14" ht="14.45" customHeight="1">
      <c r="A29" s="63"/>
      <c r="B29" s="75">
        <f ca="1">YEAR(TODAY())</f>
        <v>2025</v>
      </c>
      <c r="C29" s="75">
        <f ca="1">B29+1</f>
        <v>2026</v>
      </c>
      <c r="D29" s="75">
        <f t="shared" ref="D29:K29" ca="1" si="0">C29+1</f>
        <v>2027</v>
      </c>
      <c r="E29" s="75">
        <f t="shared" ca="1" si="0"/>
        <v>2028</v>
      </c>
      <c r="F29" s="75">
        <f ca="1">E29+1</f>
        <v>2029</v>
      </c>
      <c r="G29" s="75">
        <f t="shared" ca="1" si="0"/>
        <v>2030</v>
      </c>
      <c r="H29" s="75">
        <f t="shared" ca="1" si="0"/>
        <v>2031</v>
      </c>
      <c r="I29" s="75">
        <f t="shared" ca="1" si="0"/>
        <v>2032</v>
      </c>
      <c r="J29" s="75">
        <f t="shared" ca="1" si="0"/>
        <v>2033</v>
      </c>
      <c r="K29" s="75">
        <f t="shared" ca="1" si="0"/>
        <v>2034</v>
      </c>
      <c r="L29" s="76"/>
      <c r="M29" s="76"/>
      <c r="N29" s="76"/>
    </row>
    <row r="30" spans="1:14" ht="14.45" customHeight="1">
      <c r="A30" t="str">
        <f>CONCATENATE(""""&amp;$A$22&amp;""" Pipeline ($millions) - 95%")</f>
        <v>"Medicare" Pipeline ($millions) - 95%</v>
      </c>
      <c r="B30" s="77">
        <f ca="1">INDEX('Hidden Pipeline Data'!$C:$O,5*'Hidden Drop Down Lists'!$B$32-1,MATCH(B$29,'Hidden Pipeline Data'!$C$3:$O$3,0))</f>
        <v>5162.7292113182057</v>
      </c>
      <c r="C30" s="77">
        <f ca="1">INDEX('Hidden Pipeline Data'!$C:$O,5*'Hidden Drop Down Lists'!$B$32-1,MATCH(C$29,'Hidden Pipeline Data'!$C$3:$O$3,0))</f>
        <v>6126.19760858882</v>
      </c>
      <c r="D30" s="77">
        <f ca="1">INDEX('Hidden Pipeline Data'!$C:$O,5*'Hidden Drop Down Lists'!$B$32-1,MATCH(D$29,'Hidden Pipeline Data'!$C$3:$O$3,0))</f>
        <v>7380.8442539134585</v>
      </c>
      <c r="E30" s="77">
        <f ca="1">INDEX('Hidden Pipeline Data'!$C:$O,5*'Hidden Drop Down Lists'!$B$32-1,MATCH(E$29,'Hidden Pipeline Data'!$C$3:$O$3,0))</f>
        <v>8544.5021797447807</v>
      </c>
      <c r="F30" s="77">
        <f ca="1">INDEX('Hidden Pipeline Data'!$C:$O,5*'Hidden Drop Down Lists'!$B$32-1,MATCH(F$29,'Hidden Pipeline Data'!$C$3:$O$3,0))</f>
        <v>9751.6577692072242</v>
      </c>
      <c r="G30" s="77">
        <f ca="1">INDEX('Hidden Pipeline Data'!$C:$O,5*'Hidden Drop Down Lists'!$B$32-1,MATCH(G$29,'Hidden Pipeline Data'!$C$3:$O$3,0))</f>
        <v>10601.181955600601</v>
      </c>
      <c r="H30" s="77">
        <f ca="1">INDEX('Hidden Pipeline Data'!$C:$O,5*'Hidden Drop Down Lists'!$B$32-1,MATCH(H$29,'Hidden Pipeline Data'!$C$3:$O$3,0))</f>
        <v>11338.597610413044</v>
      </c>
      <c r="I30" s="77">
        <f ca="1">INDEX('Hidden Pipeline Data'!$C:$O,5*'Hidden Drop Down Lists'!$B$32-1,MATCH(I$29,'Hidden Pipeline Data'!$C$3:$O$3,0))</f>
        <v>11998.131461388837</v>
      </c>
      <c r="J30" s="77">
        <f ca="1">INDEX('Hidden Pipeline Data'!$C:$O,5*'Hidden Drop Down Lists'!$B$32-1,MATCH(J$29,'Hidden Pipeline Data'!$C$3:$O$3,0))</f>
        <v>12480.018045188281</v>
      </c>
      <c r="K30" s="77">
        <f ca="1">INDEX('Hidden Pipeline Data'!$C:$O,5*'Hidden Drop Down Lists'!$B$32-1,MATCH(K$29,'Hidden Pipeline Data'!$C$3:$O$3,0))</f>
        <v>12777.6467247562</v>
      </c>
      <c r="L30" s="78"/>
      <c r="M30" s="78"/>
      <c r="N30" s="78"/>
    </row>
    <row r="31" spans="1:14" ht="14.45" customHeight="1">
      <c r="A31" s="79" t="str">
        <f>CONCATENATE(""""&amp;$A$22&amp;""" Pipeline ($millions) - Mean")</f>
        <v>"Medicare" Pipeline ($millions) - Mean</v>
      </c>
      <c r="B31" s="80">
        <f ca="1">INDEX('Hidden Pipeline Data'!$C:$O,5*'Hidden Drop Down Lists'!$B$32,MATCH(B$29,'Hidden Pipeline Data'!$C$3:$O$3,0))</f>
        <v>2371.013236022201</v>
      </c>
      <c r="C31" s="80">
        <f ca="1">INDEX('Hidden Pipeline Data'!$C:$O,5*'Hidden Drop Down Lists'!$B$32,MATCH(C$29,'Hidden Pipeline Data'!$C$3:$O$3,0))</f>
        <v>3122.6480879707124</v>
      </c>
      <c r="D31" s="80">
        <f ca="1">INDEX('Hidden Pipeline Data'!$C:$O,5*'Hidden Drop Down Lists'!$B$32,MATCH(D$29,'Hidden Pipeline Data'!$C$3:$O$3,0))</f>
        <v>5209.2350081395898</v>
      </c>
      <c r="E31" s="80">
        <f ca="1">INDEX('Hidden Pipeline Data'!$C:$O,5*'Hidden Drop Down Lists'!$B$32,MATCH(E$29,'Hidden Pipeline Data'!$C$3:$O$3,0))</f>
        <v>5876.573266272464</v>
      </c>
      <c r="F31" s="80">
        <f ca="1">INDEX('Hidden Pipeline Data'!$C:$O,5*'Hidden Drop Down Lists'!$B$32,MATCH(F$29,'Hidden Pipeline Data'!$C$3:$O$3,0))</f>
        <v>7322.8711081559068</v>
      </c>
      <c r="G31" s="80">
        <f ca="1">INDEX('Hidden Pipeline Data'!$C:$O,5*'Hidden Drop Down Lists'!$B$32,MATCH(G$29,'Hidden Pipeline Data'!$C$3:$O$3,0))</f>
        <v>7978.2940922551315</v>
      </c>
      <c r="H31" s="80">
        <f ca="1">INDEX('Hidden Pipeline Data'!$C:$O,5*'Hidden Drop Down Lists'!$B$32,MATCH(H$29,'Hidden Pipeline Data'!$C$3:$O$3,0))</f>
        <v>8546.2159142998771</v>
      </c>
      <c r="I31" s="80">
        <f ca="1">INDEX('Hidden Pipeline Data'!$C:$O,5*'Hidden Drop Down Lists'!$B$32,MATCH(I$29,'Hidden Pipeline Data'!$C$3:$O$3,0))</f>
        <v>8965.7314282378811</v>
      </c>
      <c r="J31" s="80">
        <f ca="1">INDEX('Hidden Pipeline Data'!$C:$O,5*'Hidden Drop Down Lists'!$B$32,MATCH(J$29,'Hidden Pipeline Data'!$C$3:$O$3,0))</f>
        <v>9280.7370165849734</v>
      </c>
      <c r="K31" s="80">
        <f ca="1">INDEX('Hidden Pipeline Data'!$C:$O,5*'Hidden Drop Down Lists'!$B$32,MATCH(K$29,'Hidden Pipeline Data'!$C$3:$O$3,0))</f>
        <v>9458.1955689512761</v>
      </c>
      <c r="L31" s="81"/>
      <c r="M31" s="81"/>
      <c r="N31" s="81"/>
    </row>
    <row r="32" spans="1:14">
      <c r="A32" t="str">
        <f>CONCATENATE(""""&amp;$A$22&amp;""" Pipeline ($millions) - 5%")</f>
        <v>"Medicare" Pipeline ($millions) - 5%</v>
      </c>
      <c r="B32" s="77">
        <f ca="1">INDEX('Hidden Pipeline Data'!$C:$O,5*'Hidden Drop Down Lists'!$B$32+1,MATCH(B$29,'Hidden Pipeline Data'!$C$3:$O$3,0))</f>
        <v>2318.476036741803</v>
      </c>
      <c r="C32" s="77">
        <f ca="1">INDEX('Hidden Pipeline Data'!$C:$O,5*'Hidden Drop Down Lists'!$B$32+1,MATCH(C$29,'Hidden Pipeline Data'!$C$3:$O$3,0))</f>
        <v>2348.7546659275108</v>
      </c>
      <c r="D32" s="77">
        <f ca="1">INDEX('Hidden Pipeline Data'!$C:$O,5*'Hidden Drop Down Lists'!$B$32+1,MATCH(D$29,'Hidden Pipeline Data'!$C$3:$O$3,0))</f>
        <v>2409.1671227641641</v>
      </c>
      <c r="E32" s="77">
        <f ca="1">INDEX('Hidden Pipeline Data'!$C:$O,5*'Hidden Drop Down Lists'!$B$32+1,MATCH(E$29,'Hidden Pipeline Data'!$C$3:$O$3,0))</f>
        <v>2786.9805755250763</v>
      </c>
      <c r="F32" s="77">
        <f ca="1">INDEX('Hidden Pipeline Data'!$C:$O,5*'Hidden Drop Down Lists'!$B$32+1,MATCH(F$29,'Hidden Pipeline Data'!$C$3:$O$3,0))</f>
        <v>5216.412791546375</v>
      </c>
      <c r="G32" s="77">
        <f ca="1">INDEX('Hidden Pipeline Data'!$C:$O,5*'Hidden Drop Down Lists'!$B$32+1,MATCH(G$29,'Hidden Pipeline Data'!$C$3:$O$3,0))</f>
        <v>5359.0138533765421</v>
      </c>
      <c r="H32" s="77">
        <f ca="1">INDEX('Hidden Pipeline Data'!$C:$O,5*'Hidden Drop Down Lists'!$B$32+1,MATCH(H$29,'Hidden Pipeline Data'!$C$3:$O$3,0))</f>
        <v>5552.9091172453718</v>
      </c>
      <c r="I32" s="77">
        <f ca="1">INDEX('Hidden Pipeline Data'!$C:$O,5*'Hidden Drop Down Lists'!$B$32+1,MATCH(I$29,'Hidden Pipeline Data'!$C$3:$O$3,0))</f>
        <v>5908.4330449177778</v>
      </c>
      <c r="J32" s="77">
        <f ca="1">INDEX('Hidden Pipeline Data'!$C:$O,5*'Hidden Drop Down Lists'!$B$32+1,MATCH(J$29,'Hidden Pipeline Data'!$C$3:$O$3,0))</f>
        <v>6244.3358652809657</v>
      </c>
      <c r="K32" s="77">
        <f ca="1">INDEX('Hidden Pipeline Data'!$C:$O,5*'Hidden Drop Down Lists'!$B$32+1,MATCH(K$29,'Hidden Pipeline Data'!$C$3:$O$3,0))</f>
        <v>6472.0895353214473</v>
      </c>
      <c r="L32" s="78"/>
      <c r="M32" s="78"/>
      <c r="N32" s="78"/>
    </row>
    <row r="33" spans="1:11">
      <c r="A33" s="63"/>
    </row>
    <row r="34" spans="1:11">
      <c r="A34" s="63"/>
    </row>
    <row r="35" spans="1:11">
      <c r="A35" t="s">
        <v>368</v>
      </c>
    </row>
    <row r="36" spans="1:11">
      <c r="A36" t="s">
        <v>369</v>
      </c>
    </row>
    <row r="37" spans="1:11">
      <c r="A37" t="s">
        <v>186</v>
      </c>
    </row>
    <row r="39" spans="1:11">
      <c r="A39" s="82" t="s">
        <v>318</v>
      </c>
      <c r="B39" s="82"/>
      <c r="C39" s="82"/>
      <c r="D39" s="82"/>
      <c r="E39" s="82"/>
      <c r="F39" s="82"/>
      <c r="G39" s="82"/>
      <c r="H39" s="82"/>
      <c r="I39" s="82"/>
      <c r="J39" s="82"/>
      <c r="K39" s="64"/>
    </row>
    <row r="40" spans="1:11">
      <c r="A40" s="83" t="s">
        <v>293</v>
      </c>
    </row>
    <row r="42" spans="1:11" ht="14.1" customHeight="1">
      <c r="A42" s="116" t="s">
        <v>313</v>
      </c>
      <c r="B42" s="116"/>
      <c r="C42" s="116"/>
      <c r="D42" s="116"/>
      <c r="E42" s="116"/>
      <c r="F42" s="116"/>
      <c r="G42" s="116"/>
      <c r="H42" s="116"/>
      <c r="I42" s="116"/>
      <c r="J42" s="116"/>
    </row>
    <row r="43" spans="1:11">
      <c r="A43" s="116"/>
      <c r="B43" s="116"/>
      <c r="C43" s="116"/>
      <c r="D43" s="116"/>
      <c r="E43" s="116"/>
      <c r="F43" s="116"/>
      <c r="G43" s="116"/>
      <c r="H43" s="116"/>
      <c r="I43" s="116"/>
      <c r="J43" s="116"/>
    </row>
    <row r="45" spans="1:11">
      <c r="A45" s="84" t="s">
        <v>78</v>
      </c>
      <c r="B45" s="16">
        <v>125000</v>
      </c>
      <c r="E45" s="85"/>
    </row>
    <row r="48" spans="1:11">
      <c r="A48" s="1" t="s">
        <v>351</v>
      </c>
      <c r="B48" s="105" t="s">
        <v>290</v>
      </c>
    </row>
    <row r="49" spans="1:15">
      <c r="A49" s="86"/>
    </row>
    <row r="52" spans="1:15">
      <c r="A52" s="1" t="s">
        <v>76</v>
      </c>
      <c r="B52" s="75">
        <f ca="1">B29</f>
        <v>2025</v>
      </c>
      <c r="C52" s="75">
        <f t="shared" ref="C52:K52" ca="1" si="1">C29</f>
        <v>2026</v>
      </c>
      <c r="D52" s="75">
        <f t="shared" ca="1" si="1"/>
        <v>2027</v>
      </c>
      <c r="E52" s="75">
        <f t="shared" ca="1" si="1"/>
        <v>2028</v>
      </c>
      <c r="F52" s="75">
        <f t="shared" ca="1" si="1"/>
        <v>2029</v>
      </c>
      <c r="G52" s="75">
        <f t="shared" ca="1" si="1"/>
        <v>2030</v>
      </c>
      <c r="H52" s="75">
        <f t="shared" ca="1" si="1"/>
        <v>2031</v>
      </c>
      <c r="I52" s="75">
        <f t="shared" ca="1" si="1"/>
        <v>2032</v>
      </c>
      <c r="J52" s="75">
        <f t="shared" ca="1" si="1"/>
        <v>2033</v>
      </c>
      <c r="K52" s="87">
        <f t="shared" ca="1" si="1"/>
        <v>2034</v>
      </c>
      <c r="L52" s="88"/>
      <c r="M52" s="76"/>
      <c r="N52" s="76"/>
      <c r="O52" s="76"/>
    </row>
    <row r="53" spans="1:15">
      <c r="A53" t="s">
        <v>79</v>
      </c>
      <c r="B53" s="89">
        <f ca="1">INDEX(B30:B32,'Hidden Drop Down Lists'!$D$12)*$B$45/$B$27</f>
        <v>4.6895040269426449</v>
      </c>
      <c r="C53" s="89">
        <f ca="1">INDEX(C30:C32,'Hidden Drop Down Lists'!$D$12)*$B$45/$B$27</f>
        <v>6.1761235917142248</v>
      </c>
      <c r="D53" s="89">
        <f ca="1">INDEX(D30:D32,'Hidden Drop Down Lists'!$D$12)*$B$45/$B$27</f>
        <v>10.303075569896341</v>
      </c>
      <c r="E53" s="89">
        <f ca="1">INDEX(E30:E32,'Hidden Drop Down Lists'!$D$12)*$B$45/$B$27</f>
        <v>11.622969276646486</v>
      </c>
      <c r="F53" s="89">
        <f ca="1">INDEX(F30:F32,'Hidden Drop Down Lists'!$D$12)*$B$45/$B$27</f>
        <v>14.483526717080512</v>
      </c>
      <c r="G53" s="89">
        <f ca="1">INDEX(G30:G32,'Hidden Drop Down Lists'!$D$12)*$B$45/$B$27</f>
        <v>15.779853821707144</v>
      </c>
      <c r="H53" s="89">
        <f ca="1">INDEX(H30:H32,'Hidden Drop Down Lists'!$D$12)*$B$45/$B$27</f>
        <v>16.90311691910577</v>
      </c>
      <c r="I53" s="89">
        <f ca="1">INDEX(I30:I32,'Hidden Drop Down Lists'!$D$12)*$B$45/$B$27</f>
        <v>17.732854881799607</v>
      </c>
      <c r="J53" s="89">
        <f ca="1">INDEX(J30:J32,'Hidden Drop Down Lists'!$D$12)*$B$45/$B$27</f>
        <v>18.355888086600029</v>
      </c>
      <c r="K53" s="89">
        <f ca="1">INDEX(K30:K32,'Hidden Drop Down Lists'!$D$12)*$B$45/$B$27</f>
        <v>18.706874147451103</v>
      </c>
      <c r="L53" s="90"/>
      <c r="M53" s="91"/>
      <c r="N53" s="91"/>
    </row>
    <row r="54" spans="1:15">
      <c r="A54" t="s">
        <v>82</v>
      </c>
      <c r="B54" s="92">
        <f t="shared" ref="B54:K54" ca="1" si="2">(B53*1000000/12)/$B$45</f>
        <v>3.1263360179617634</v>
      </c>
      <c r="C54" s="92">
        <f t="shared" ca="1" si="2"/>
        <v>4.1174157278094832</v>
      </c>
      <c r="D54" s="92">
        <f t="shared" ca="1" si="2"/>
        <v>6.8687170465975615</v>
      </c>
      <c r="E54" s="92">
        <f t="shared" ca="1" si="2"/>
        <v>7.7486461844309913</v>
      </c>
      <c r="F54" s="92">
        <f t="shared" ca="1" si="2"/>
        <v>9.6556844780536739</v>
      </c>
      <c r="G54" s="92">
        <f t="shared" ca="1" si="2"/>
        <v>10.519902547804763</v>
      </c>
      <c r="H54" s="92">
        <f t="shared" ca="1" si="2"/>
        <v>11.268744612737178</v>
      </c>
      <c r="I54" s="92">
        <f t="shared" ca="1" si="2"/>
        <v>11.821903254533073</v>
      </c>
      <c r="J54" s="92">
        <f t="shared" ca="1" si="2"/>
        <v>12.23725872440002</v>
      </c>
      <c r="K54" s="93">
        <f t="shared" ca="1" si="2"/>
        <v>12.471249431634069</v>
      </c>
      <c r="L54" s="94"/>
      <c r="M54" s="95"/>
      <c r="N54" s="95"/>
    </row>
    <row r="55" spans="1:15">
      <c r="A55" s="63"/>
    </row>
    <row r="56" spans="1:15">
      <c r="A56" s="63"/>
    </row>
    <row r="57" spans="1:15" ht="15.75">
      <c r="A57" s="15" t="s">
        <v>187</v>
      </c>
    </row>
    <row r="58" spans="1:15">
      <c r="A58" t="s">
        <v>188</v>
      </c>
    </row>
    <row r="60" spans="1:15">
      <c r="A60" s="28" t="s">
        <v>183</v>
      </c>
    </row>
    <row r="61" spans="1:15">
      <c r="A61" s="28" t="s">
        <v>184</v>
      </c>
    </row>
    <row r="62" spans="1:15">
      <c r="A62" s="28" t="s">
        <v>185</v>
      </c>
    </row>
    <row r="64" spans="1:15">
      <c r="A64" s="119" t="s">
        <v>344</v>
      </c>
      <c r="B64" s="119"/>
      <c r="C64" s="119"/>
      <c r="D64" s="119"/>
      <c r="E64" s="119"/>
      <c r="F64" s="119"/>
      <c r="G64" s="119"/>
      <c r="H64" s="119"/>
      <c r="I64" s="119"/>
      <c r="J64" s="119"/>
      <c r="K64" s="64"/>
    </row>
    <row r="65" spans="1:10">
      <c r="A65" s="83" t="s">
        <v>337</v>
      </c>
      <c r="B65" s="76"/>
      <c r="C65" s="76"/>
      <c r="D65" s="76"/>
      <c r="E65" s="76"/>
      <c r="F65" s="76"/>
      <c r="G65" s="76"/>
      <c r="H65" s="76"/>
      <c r="I65" s="76"/>
      <c r="J65" s="76"/>
    </row>
    <row r="66" spans="1:10">
      <c r="A66" s="83"/>
      <c r="D66" s="76"/>
      <c r="E66" s="76"/>
      <c r="F66" s="76"/>
      <c r="G66" s="76"/>
      <c r="H66" s="76"/>
      <c r="I66" s="76"/>
      <c r="J66" s="76"/>
    </row>
    <row r="67" spans="1:10">
      <c r="A67" s="116" t="s">
        <v>345</v>
      </c>
      <c r="C67" s="76" t="s">
        <v>332</v>
      </c>
      <c r="D67" s="76"/>
      <c r="E67" s="76"/>
      <c r="F67" s="76"/>
      <c r="G67" s="76"/>
      <c r="H67" s="76"/>
      <c r="I67" s="76"/>
      <c r="J67" s="76"/>
    </row>
    <row r="68" spans="1:10">
      <c r="A68" s="118"/>
      <c r="C68" s="106" t="s">
        <v>336</v>
      </c>
      <c r="D68" s="1" t="s">
        <v>331</v>
      </c>
      <c r="E68" s="76"/>
      <c r="F68" s="76"/>
      <c r="G68" s="76"/>
      <c r="H68" s="76"/>
      <c r="I68" s="76"/>
      <c r="J68" s="76"/>
    </row>
    <row r="69" spans="1:10">
      <c r="A69" s="118"/>
      <c r="C69" s="106" t="s">
        <v>336</v>
      </c>
      <c r="D69" s="1" t="s">
        <v>333</v>
      </c>
      <c r="E69" s="76"/>
      <c r="F69" s="76"/>
    </row>
    <row r="70" spans="1:10">
      <c r="A70" s="118"/>
      <c r="C70" s="106" t="s">
        <v>336</v>
      </c>
      <c r="D70" s="1" t="s">
        <v>334</v>
      </c>
    </row>
    <row r="71" spans="1:10">
      <c r="A71" s="118"/>
      <c r="C71" s="107" t="s">
        <v>336</v>
      </c>
      <c r="D71" s="1" t="s">
        <v>335</v>
      </c>
    </row>
    <row r="72" spans="1:10">
      <c r="A72" s="118"/>
    </row>
    <row r="73" spans="1:10">
      <c r="A73" s="96"/>
    </row>
    <row r="74" spans="1:10">
      <c r="A74" s="96"/>
    </row>
    <row r="75" spans="1:10" ht="14.1" customHeight="1">
      <c r="A75" s="96"/>
      <c r="E75" s="117" t="s">
        <v>339</v>
      </c>
      <c r="F75" s="117"/>
      <c r="G75" s="117"/>
      <c r="H75" s="117"/>
      <c r="I75" s="97"/>
    </row>
    <row r="76" spans="1:10">
      <c r="A76" s="96"/>
      <c r="E76" s="117"/>
      <c r="F76" s="117"/>
      <c r="G76" s="117"/>
      <c r="H76" s="117"/>
      <c r="I76" s="97"/>
    </row>
    <row r="77" spans="1:10">
      <c r="A77" s="96"/>
      <c r="E77" s="117"/>
      <c r="F77" s="117"/>
      <c r="G77" s="117"/>
      <c r="H77" s="117"/>
      <c r="I77" s="97"/>
    </row>
    <row r="78" spans="1:10">
      <c r="A78" s="96"/>
      <c r="E78" s="117"/>
      <c r="F78" s="117"/>
      <c r="G78" s="117"/>
      <c r="H78" s="117"/>
      <c r="I78" s="97"/>
    </row>
    <row r="79" spans="1:10">
      <c r="A79" s="96"/>
      <c r="E79" s="97"/>
      <c r="F79" s="97"/>
      <c r="G79" s="97"/>
      <c r="H79" s="97"/>
      <c r="I79" s="97"/>
    </row>
    <row r="80" spans="1:10">
      <c r="A80" s="96"/>
      <c r="E80" s="97"/>
      <c r="F80" s="97"/>
      <c r="G80" s="97"/>
      <c r="H80" s="97"/>
      <c r="I80" s="97"/>
    </row>
    <row r="81" spans="1:9" ht="14.1" customHeight="1">
      <c r="A81" s="96"/>
      <c r="E81" s="117" t="s">
        <v>346</v>
      </c>
      <c r="F81" s="117"/>
      <c r="G81" s="117"/>
      <c r="H81" s="117"/>
      <c r="I81" s="97"/>
    </row>
    <row r="82" spans="1:9" ht="14.1" customHeight="1">
      <c r="A82" s="96"/>
      <c r="E82" s="117"/>
      <c r="F82" s="117"/>
      <c r="G82" s="117"/>
      <c r="H82" s="117"/>
    </row>
    <row r="83" spans="1:9">
      <c r="A83" s="96"/>
      <c r="E83" s="117"/>
      <c r="F83" s="117"/>
      <c r="G83" s="117"/>
      <c r="H83" s="117"/>
    </row>
    <row r="84" spans="1:9">
      <c r="A84" s="96"/>
      <c r="E84" s="117"/>
      <c r="F84" s="117"/>
      <c r="G84" s="117"/>
      <c r="H84" s="117"/>
    </row>
    <row r="85" spans="1:9">
      <c r="A85" s="96"/>
      <c r="E85" s="117"/>
      <c r="F85" s="117"/>
      <c r="G85" s="117"/>
      <c r="H85" s="117"/>
    </row>
    <row r="86" spans="1:9">
      <c r="A86" s="96"/>
      <c r="E86" s="117"/>
      <c r="F86" s="117"/>
      <c r="G86" s="117"/>
      <c r="H86" s="117"/>
    </row>
    <row r="87" spans="1:9">
      <c r="A87" s="96"/>
    </row>
    <row r="88" spans="1:9">
      <c r="A88" s="96"/>
      <c r="E88" t="s">
        <v>340</v>
      </c>
    </row>
    <row r="89" spans="1:9">
      <c r="A89" s="96"/>
      <c r="F89" s="27" t="s">
        <v>347</v>
      </c>
    </row>
    <row r="90" spans="1:9">
      <c r="A90" s="96"/>
      <c r="F90" s="27" t="s">
        <v>348</v>
      </c>
    </row>
    <row r="91" spans="1:9">
      <c r="A91" s="96"/>
      <c r="F91" s="27" t="s">
        <v>189</v>
      </c>
    </row>
    <row r="92" spans="1:9">
      <c r="A92" s="96"/>
      <c r="F92" s="27" t="s">
        <v>341</v>
      </c>
    </row>
    <row r="93" spans="1:9">
      <c r="A93" s="96"/>
    </row>
    <row r="94" spans="1:9">
      <c r="A94" s="96"/>
    </row>
    <row r="95" spans="1:9">
      <c r="A95" s="96"/>
    </row>
    <row r="96" spans="1:9">
      <c r="A96" s="96"/>
    </row>
    <row r="97" spans="1:6">
      <c r="A97" s="96"/>
    </row>
    <row r="98" spans="1:6" ht="30.75" thickBot="1">
      <c r="A98" s="98" t="s">
        <v>7</v>
      </c>
      <c r="B98" s="99" t="s">
        <v>294</v>
      </c>
      <c r="C98" s="100" t="s">
        <v>295</v>
      </c>
      <c r="D98" s="100" t="s">
        <v>296</v>
      </c>
      <c r="E98" s="99" t="s">
        <v>297</v>
      </c>
      <c r="F98" s="99" t="s">
        <v>298</v>
      </c>
    </row>
    <row r="99" spans="1:6" ht="15.75" thickTop="1">
      <c r="A99" s="108" t="s">
        <v>299</v>
      </c>
      <c r="B99" s="101" t="s">
        <v>17</v>
      </c>
      <c r="C99" s="101" t="s">
        <v>17</v>
      </c>
      <c r="D99" s="101" t="s">
        <v>319</v>
      </c>
      <c r="E99" s="101"/>
      <c r="F99" s="101" t="s">
        <v>319</v>
      </c>
    </row>
    <row r="100" spans="1:6">
      <c r="A100" s="108" t="s">
        <v>300</v>
      </c>
      <c r="B100" s="102" t="s">
        <v>17</v>
      </c>
      <c r="C100" s="102" t="s">
        <v>17</v>
      </c>
      <c r="D100" s="102" t="s">
        <v>319</v>
      </c>
      <c r="E100" s="102" t="s">
        <v>17</v>
      </c>
      <c r="F100" s="102" t="s">
        <v>319</v>
      </c>
    </row>
    <row r="101" spans="1:6">
      <c r="A101" s="109" t="s">
        <v>301</v>
      </c>
      <c r="B101" s="102" t="s">
        <v>17</v>
      </c>
      <c r="C101" s="102" t="s">
        <v>17</v>
      </c>
      <c r="D101" s="102" t="s">
        <v>319</v>
      </c>
      <c r="E101" s="102" t="s">
        <v>320</v>
      </c>
      <c r="F101" s="102" t="s">
        <v>319</v>
      </c>
    </row>
    <row r="102" spans="1:6">
      <c r="A102" s="108" t="s">
        <v>411</v>
      </c>
      <c r="B102" s="102" t="s">
        <v>321</v>
      </c>
      <c r="C102" s="102" t="s">
        <v>17</v>
      </c>
      <c r="D102" s="102"/>
      <c r="E102" s="103"/>
      <c r="F102" s="103"/>
    </row>
    <row r="103" spans="1:6">
      <c r="A103" s="109" t="s">
        <v>302</v>
      </c>
      <c r="B103" s="101" t="s">
        <v>321</v>
      </c>
      <c r="C103" s="101" t="s">
        <v>17</v>
      </c>
      <c r="D103" s="101" t="s">
        <v>320</v>
      </c>
      <c r="E103" s="101" t="s">
        <v>320</v>
      </c>
      <c r="F103" s="101" t="s">
        <v>320</v>
      </c>
    </row>
    <row r="104" spans="1:6">
      <c r="A104" s="108" t="s">
        <v>303</v>
      </c>
      <c r="B104" s="102"/>
      <c r="C104" s="102"/>
      <c r="D104" s="102"/>
      <c r="E104" s="103"/>
      <c r="F104" s="102" t="s">
        <v>17</v>
      </c>
    </row>
    <row r="105" spans="1:6">
      <c r="A105" s="108" t="s">
        <v>304</v>
      </c>
      <c r="B105" s="101" t="s">
        <v>17</v>
      </c>
      <c r="C105" s="101" t="s">
        <v>17</v>
      </c>
      <c r="D105" s="101" t="s">
        <v>319</v>
      </c>
      <c r="E105" s="101" t="s">
        <v>17</v>
      </c>
      <c r="F105" s="102" t="s">
        <v>319</v>
      </c>
    </row>
    <row r="106" spans="1:6">
      <c r="A106" s="108" t="s">
        <v>305</v>
      </c>
      <c r="B106" s="102"/>
      <c r="C106" s="102" t="s">
        <v>17</v>
      </c>
      <c r="D106" s="102"/>
      <c r="E106" s="103"/>
      <c r="F106" s="101" t="s">
        <v>319</v>
      </c>
    </row>
    <row r="107" spans="1:6">
      <c r="A107" s="109" t="s">
        <v>306</v>
      </c>
      <c r="B107" s="101" t="s">
        <v>17</v>
      </c>
      <c r="C107" s="101" t="s">
        <v>17</v>
      </c>
      <c r="D107" s="102" t="s">
        <v>320</v>
      </c>
      <c r="E107" s="102" t="s">
        <v>320</v>
      </c>
      <c r="F107" s="101" t="s">
        <v>319</v>
      </c>
    </row>
    <row r="108" spans="1:6">
      <c r="A108" s="108" t="s">
        <v>307</v>
      </c>
      <c r="B108" s="102"/>
      <c r="C108" s="102"/>
      <c r="D108" s="102"/>
      <c r="E108" s="103"/>
      <c r="F108" s="102"/>
    </row>
    <row r="109" spans="1:6">
      <c r="A109" s="109" t="s">
        <v>308</v>
      </c>
      <c r="B109" s="101" t="s">
        <v>17</v>
      </c>
      <c r="C109" s="101" t="s">
        <v>17</v>
      </c>
      <c r="D109" s="102" t="s">
        <v>320</v>
      </c>
      <c r="E109" s="102" t="s">
        <v>320</v>
      </c>
      <c r="F109" s="102" t="s">
        <v>320</v>
      </c>
    </row>
    <row r="110" spans="1:6">
      <c r="A110" s="108" t="s">
        <v>309</v>
      </c>
      <c r="B110" s="102"/>
      <c r="C110" s="102"/>
      <c r="D110" s="102"/>
      <c r="E110" s="103"/>
      <c r="F110" s="102"/>
    </row>
    <row r="111" spans="1:6">
      <c r="A111" s="109" t="s">
        <v>310</v>
      </c>
      <c r="B111" s="101" t="s">
        <v>17</v>
      </c>
      <c r="C111" s="101" t="s">
        <v>17</v>
      </c>
      <c r="D111" s="102" t="s">
        <v>320</v>
      </c>
      <c r="E111" s="102" t="s">
        <v>320</v>
      </c>
      <c r="F111" s="102" t="s">
        <v>320</v>
      </c>
    </row>
    <row r="113" spans="1:1">
      <c r="A113" t="s">
        <v>338</v>
      </c>
    </row>
  </sheetData>
  <sheetProtection sheet="1" selectLockedCells="1"/>
  <mergeCells count="20">
    <mergeCell ref="H19:I19"/>
    <mergeCell ref="A15:A18"/>
    <mergeCell ref="H15:I15"/>
    <mergeCell ref="H16:I16"/>
    <mergeCell ref="H17:I17"/>
    <mergeCell ref="H18:I18"/>
    <mergeCell ref="A8:J8"/>
    <mergeCell ref="H13:I13"/>
    <mergeCell ref="H14:I14"/>
    <mergeCell ref="A10:J10"/>
    <mergeCell ref="A11:J11"/>
    <mergeCell ref="F12:J12"/>
    <mergeCell ref="H20:I20"/>
    <mergeCell ref="H21:I21"/>
    <mergeCell ref="H22:I22"/>
    <mergeCell ref="E81:H86"/>
    <mergeCell ref="A67:A72"/>
    <mergeCell ref="E75:H78"/>
    <mergeCell ref="A42:J43"/>
    <mergeCell ref="A64:J64"/>
  </mergeCells>
  <hyperlinks>
    <hyperlink ref="A99" r:id="rId1" location="gsc.tab=0" xr:uid="{289D976A-D90B-4062-8552-F1EF57D3E65E}"/>
    <hyperlink ref="A100" r:id="rId2" location="gsc.tab=0" xr:uid="{61178831-6C4B-4480-9815-463C0AF28198}"/>
    <hyperlink ref="A104" r:id="rId3" location="gsc.tab=0" xr:uid="{525ABF56-76EC-493E-961E-14F572BE2442}"/>
    <hyperlink ref="A102" r:id="rId4" location="gsc.tab=0" display="https://newdigs.tuftsmedicalcenter.org/payingforcures/financing-therapies/precision-financing-solutions/warranty/#gsc.tab=0" xr:uid="{1D68996A-9DE6-4211-8E43-2E41C37E22F6}"/>
    <hyperlink ref="A105" r:id="rId5" location="gsc.tab=0" xr:uid="{881946BB-7737-4491-8F56-97B51768626A}"/>
    <hyperlink ref="A106" r:id="rId6" location="gsc.tab=0" xr:uid="{1A032E39-E030-4203-A8B0-E3A0BEDC034B}"/>
    <hyperlink ref="A108" r:id="rId7" location="gsc.tab=0" xr:uid="{9EE5F040-C724-4589-997C-BBE68A8E7598}"/>
    <hyperlink ref="A110" r:id="rId8" location="gsc.tab=0" xr:uid="{637C998E-E8D7-4BAF-A6A0-E614AF369651}"/>
  </hyperlinks>
  <pageMargins left="0.7" right="0.7" top="0.75" bottom="0.75" header="0.3" footer="0.3"/>
  <pageSetup scale="53" fitToHeight="0" orientation="landscape" horizontalDpi="1200" verticalDpi="1200" r:id="rId9"/>
  <headerFooter>
    <oddFooter>&amp;CSubject to Terms of Use
MIT CENTER FOR BIOMEDICAL INNOVATION
NEWDIGS/FoCUS</oddFooter>
  </headerFooter>
  <drawing r:id="rId1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'Hidden Drop Down Lists'!$A$28:$A$31</xm:f>
          </x14:formula1>
          <xm:sqref>A22</xm:sqref>
        </x14:dataValidation>
        <x14:dataValidation type="list" allowBlank="1" showInputMessage="1" showErrorMessage="1" xr:uid="{495118CA-BAAF-489C-9939-7C504B32FBC0}">
          <x14:formula1>
            <xm:f>'Hidden Drop Down Lists'!$C$9:$C$11</xm:f>
          </x14:formula1>
          <xm:sqref>B48</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B1:O23"/>
  <sheetViews>
    <sheetView topLeftCell="B1" workbookViewId="0">
      <selection activeCell="D3" sqref="D3"/>
    </sheetView>
  </sheetViews>
  <sheetFormatPr defaultColWidth="8.85546875" defaultRowHeight="15"/>
  <cols>
    <col min="2" max="2" width="23.140625" customWidth="1"/>
    <col min="3" max="3" width="8.85546875" customWidth="1"/>
    <col min="7" max="7" width="9" customWidth="1"/>
  </cols>
  <sheetData>
    <row r="1" spans="2:15">
      <c r="B1" s="55" t="s">
        <v>292</v>
      </c>
    </row>
    <row r="2" spans="2:15" ht="15.75" thickBot="1">
      <c r="C2">
        <f ca="1">IF(C3&lt;YEAR(TODAY()),0,IF(C3=YEAR(TODAY()),1,B2+1))</f>
        <v>1</v>
      </c>
      <c r="D2">
        <f t="shared" ref="D2:O2" ca="1" si="0">IF(D3&lt;YEAR(TODAY()),0,IF(D3=YEAR(TODAY()),1,C2+1))</f>
        <v>0</v>
      </c>
      <c r="E2">
        <f t="shared" ca="1" si="0"/>
        <v>1</v>
      </c>
      <c r="F2">
        <f t="shared" ca="1" si="0"/>
        <v>2</v>
      </c>
      <c r="G2">
        <f t="shared" ca="1" si="0"/>
        <v>3</v>
      </c>
      <c r="H2">
        <f t="shared" ca="1" si="0"/>
        <v>4</v>
      </c>
      <c r="I2">
        <f t="shared" ca="1" si="0"/>
        <v>5</v>
      </c>
      <c r="J2">
        <f t="shared" ca="1" si="0"/>
        <v>6</v>
      </c>
      <c r="K2">
        <f t="shared" ca="1" si="0"/>
        <v>7</v>
      </c>
      <c r="L2">
        <f t="shared" ca="1" si="0"/>
        <v>8</v>
      </c>
      <c r="M2">
        <f t="shared" ca="1" si="0"/>
        <v>9</v>
      </c>
      <c r="N2">
        <f t="shared" ca="1" si="0"/>
        <v>10</v>
      </c>
      <c r="O2">
        <f t="shared" ca="1" si="0"/>
        <v>11</v>
      </c>
    </row>
    <row r="3" spans="2:15" ht="15.75" thickBot="1">
      <c r="B3" s="54" t="s">
        <v>283</v>
      </c>
      <c r="C3" s="45" t="s">
        <v>355</v>
      </c>
      <c r="D3" s="46">
        <v>2024</v>
      </c>
      <c r="E3" s="46">
        <v>2025</v>
      </c>
      <c r="F3" s="46">
        <v>2026</v>
      </c>
      <c r="G3" s="46">
        <v>2027</v>
      </c>
      <c r="H3" s="46">
        <v>2028</v>
      </c>
      <c r="I3" s="46">
        <v>2029</v>
      </c>
      <c r="J3" s="46">
        <v>2030</v>
      </c>
      <c r="K3" s="46">
        <v>2031</v>
      </c>
      <c r="L3" s="46">
        <v>2032</v>
      </c>
      <c r="M3" s="46">
        <v>2033</v>
      </c>
      <c r="N3" s="46">
        <v>2034</v>
      </c>
      <c r="O3" s="47">
        <v>2035</v>
      </c>
    </row>
    <row r="4" spans="2:15">
      <c r="B4" s="48" t="s">
        <v>289</v>
      </c>
      <c r="C4" s="49">
        <v>1925.4932865287988</v>
      </c>
      <c r="D4" s="50">
        <v>2196.4203686531882</v>
      </c>
      <c r="E4" s="50">
        <v>5162.7292113182057</v>
      </c>
      <c r="F4" s="50">
        <v>6126.19760858882</v>
      </c>
      <c r="G4" s="50">
        <v>7380.8442539134585</v>
      </c>
      <c r="H4" s="50">
        <v>8544.5021797447807</v>
      </c>
      <c r="I4" s="50">
        <v>9751.6577692072242</v>
      </c>
      <c r="J4" s="50">
        <v>10601.181955600601</v>
      </c>
      <c r="K4" s="50">
        <v>11338.597610413044</v>
      </c>
      <c r="L4" s="50">
        <v>11998.131461388837</v>
      </c>
      <c r="M4" s="50">
        <v>12480.018045188281</v>
      </c>
      <c r="N4" s="50">
        <v>12777.6467247562</v>
      </c>
      <c r="O4" s="51">
        <v>12926.021409578734</v>
      </c>
    </row>
    <row r="5" spans="2:15">
      <c r="B5" s="52" t="s">
        <v>290</v>
      </c>
      <c r="C5" s="40">
        <v>1922.696994363911</v>
      </c>
      <c r="D5" s="39">
        <v>2170.2063773022428</v>
      </c>
      <c r="E5" s="39">
        <v>2371.013236022201</v>
      </c>
      <c r="F5" s="39">
        <v>3122.6480879707124</v>
      </c>
      <c r="G5" s="39">
        <v>5209.2350081395898</v>
      </c>
      <c r="H5" s="39">
        <v>5876.573266272464</v>
      </c>
      <c r="I5" s="39">
        <v>7322.8711081559068</v>
      </c>
      <c r="J5" s="39">
        <v>7978.2940922551315</v>
      </c>
      <c r="K5" s="39">
        <v>8546.2159142998771</v>
      </c>
      <c r="L5" s="39">
        <v>8965.7314282378811</v>
      </c>
      <c r="M5" s="39">
        <v>9280.7370165849734</v>
      </c>
      <c r="N5" s="39">
        <v>9458.1955689512761</v>
      </c>
      <c r="O5" s="41">
        <v>9538.6659242724963</v>
      </c>
    </row>
    <row r="6" spans="2:15" ht="15.75" thickBot="1">
      <c r="B6" s="53" t="s">
        <v>291</v>
      </c>
      <c r="C6" s="42">
        <v>1920.9525555432986</v>
      </c>
      <c r="D6" s="43">
        <v>2148.3535133867767</v>
      </c>
      <c r="E6" s="43">
        <v>2318.476036741803</v>
      </c>
      <c r="F6" s="43">
        <v>2348.7546659275108</v>
      </c>
      <c r="G6" s="43">
        <v>2409.1671227641641</v>
      </c>
      <c r="H6" s="43">
        <v>2786.9805755250763</v>
      </c>
      <c r="I6" s="43">
        <v>5216.412791546375</v>
      </c>
      <c r="J6" s="43">
        <v>5359.0138533765421</v>
      </c>
      <c r="K6" s="43">
        <v>5552.9091172453718</v>
      </c>
      <c r="L6" s="43">
        <v>5908.4330449177778</v>
      </c>
      <c r="M6" s="43">
        <v>6244.3358652809657</v>
      </c>
      <c r="N6" s="43">
        <v>6472.0895353214473</v>
      </c>
      <c r="O6" s="44">
        <v>6699.6875066101584</v>
      </c>
    </row>
    <row r="7" spans="2:15" ht="15.75" thickBot="1"/>
    <row r="8" spans="2:15" ht="15.75" thickBot="1">
      <c r="B8" s="54" t="s">
        <v>284</v>
      </c>
      <c r="C8" s="45" t="s">
        <v>355</v>
      </c>
      <c r="D8" s="46" t="s">
        <v>356</v>
      </c>
      <c r="E8" s="46" t="s">
        <v>357</v>
      </c>
      <c r="F8" s="46" t="s">
        <v>358</v>
      </c>
      <c r="G8" s="46" t="s">
        <v>359</v>
      </c>
      <c r="H8" s="46" t="s">
        <v>360</v>
      </c>
      <c r="I8" s="46" t="s">
        <v>361</v>
      </c>
      <c r="J8" s="46" t="s">
        <v>362</v>
      </c>
      <c r="K8" s="46" t="s">
        <v>363</v>
      </c>
      <c r="L8" s="46" t="s">
        <v>364</v>
      </c>
      <c r="M8" s="46" t="s">
        <v>365</v>
      </c>
      <c r="N8" s="46" t="s">
        <v>366</v>
      </c>
      <c r="O8" s="47" t="s">
        <v>367</v>
      </c>
    </row>
    <row r="9" spans="2:15">
      <c r="B9" s="48" t="s">
        <v>289</v>
      </c>
      <c r="C9" s="49">
        <v>1606.9673764118363</v>
      </c>
      <c r="D9" s="50">
        <v>2515.2594119220116</v>
      </c>
      <c r="E9" s="50">
        <v>3950.9176300144768</v>
      </c>
      <c r="F9" s="50">
        <v>4825.106108589629</v>
      </c>
      <c r="G9" s="50">
        <v>4993.4058449400472</v>
      </c>
      <c r="H9" s="50">
        <v>4890.259240362112</v>
      </c>
      <c r="I9" s="50">
        <v>4613.0602359732802</v>
      </c>
      <c r="J9" s="50">
        <v>4508.001887364906</v>
      </c>
      <c r="K9" s="50">
        <v>4403.3590809892485</v>
      </c>
      <c r="L9" s="50">
        <v>4394.6587145562216</v>
      </c>
      <c r="M9" s="50">
        <v>4463.1015239375502</v>
      </c>
      <c r="N9" s="50">
        <v>4469.7139047999954</v>
      </c>
      <c r="O9" s="51">
        <v>4436.9134286940098</v>
      </c>
    </row>
    <row r="10" spans="2:15">
      <c r="B10" s="52" t="s">
        <v>290</v>
      </c>
      <c r="C10" s="40">
        <v>1547.8914132327054</v>
      </c>
      <c r="D10" s="39">
        <v>2447.6258350359981</v>
      </c>
      <c r="E10" s="39">
        <v>3764.0287681438826</v>
      </c>
      <c r="F10" s="39">
        <v>4113.7002214641743</v>
      </c>
      <c r="G10" s="39">
        <v>4242.2016313224794</v>
      </c>
      <c r="H10" s="39">
        <v>4144.1496258166098</v>
      </c>
      <c r="I10" s="39">
        <v>3886.0196060529947</v>
      </c>
      <c r="J10" s="39">
        <v>3658.2152854018864</v>
      </c>
      <c r="K10" s="39">
        <v>3475.4179837606439</v>
      </c>
      <c r="L10" s="39">
        <v>3385.3703745198068</v>
      </c>
      <c r="M10" s="39">
        <v>3372.4525580442782</v>
      </c>
      <c r="N10" s="39">
        <v>3360.707175063169</v>
      </c>
      <c r="O10" s="41">
        <v>3339.1814549734236</v>
      </c>
    </row>
    <row r="11" spans="2:15" ht="15.75" thickBot="1">
      <c r="B11" s="53" t="s">
        <v>291</v>
      </c>
      <c r="C11" s="42">
        <v>1503.6044043935599</v>
      </c>
      <c r="D11" s="43">
        <v>2283.7446022368958</v>
      </c>
      <c r="E11" s="43">
        <v>3489.1010302358695</v>
      </c>
      <c r="F11" s="43">
        <v>3656.8802437957524</v>
      </c>
      <c r="G11" s="43">
        <v>3716.6135548084221</v>
      </c>
      <c r="H11" s="43">
        <v>3602.8513588403957</v>
      </c>
      <c r="I11" s="43">
        <v>3343.5338615770315</v>
      </c>
      <c r="J11" s="43">
        <v>3040.3027879860915</v>
      </c>
      <c r="K11" s="43">
        <v>2819.7647379482642</v>
      </c>
      <c r="L11" s="43">
        <v>2716.3578120864167</v>
      </c>
      <c r="M11" s="43">
        <v>2681.4035241431643</v>
      </c>
      <c r="N11" s="43">
        <v>2669.825496629634</v>
      </c>
      <c r="O11" s="44">
        <v>2663.9087200780805</v>
      </c>
    </row>
    <row r="12" spans="2:15" ht="15.75" thickBot="1"/>
    <row r="13" spans="2:15" ht="15.75" thickBot="1">
      <c r="B13" s="54" t="s">
        <v>285</v>
      </c>
      <c r="C13" s="45" t="s">
        <v>355</v>
      </c>
      <c r="D13" s="46" t="s">
        <v>356</v>
      </c>
      <c r="E13" s="46" t="s">
        <v>357</v>
      </c>
      <c r="F13" s="46" t="s">
        <v>358</v>
      </c>
      <c r="G13" s="46" t="s">
        <v>359</v>
      </c>
      <c r="H13" s="46" t="s">
        <v>360</v>
      </c>
      <c r="I13" s="46" t="s">
        <v>361</v>
      </c>
      <c r="J13" s="46" t="s">
        <v>362</v>
      </c>
      <c r="K13" s="46" t="s">
        <v>363</v>
      </c>
      <c r="L13" s="46" t="s">
        <v>364</v>
      </c>
      <c r="M13" s="46" t="s">
        <v>365</v>
      </c>
      <c r="N13" s="46" t="s">
        <v>366</v>
      </c>
      <c r="O13" s="47" t="s">
        <v>367</v>
      </c>
    </row>
    <row r="14" spans="2:15" ht="15.75" thickBot="1">
      <c r="B14" s="48" t="s">
        <v>289</v>
      </c>
      <c r="C14" s="49">
        <v>2171.2186975976638</v>
      </c>
      <c r="D14" s="49">
        <v>3778.0717230128721</v>
      </c>
      <c r="E14" s="49">
        <v>6386.5764927943601</v>
      </c>
      <c r="F14" s="49">
        <v>10066.500806256176</v>
      </c>
      <c r="G14" s="49">
        <v>11755.615363208042</v>
      </c>
      <c r="H14" s="49">
        <v>12877.614789224443</v>
      </c>
      <c r="I14" s="49">
        <v>13419.051427586972</v>
      </c>
      <c r="J14" s="49">
        <v>14444.365034755603</v>
      </c>
      <c r="K14" s="49">
        <v>15277.320467907191</v>
      </c>
      <c r="L14" s="49">
        <v>16184.643608410841</v>
      </c>
      <c r="M14" s="49">
        <v>16925.983324482153</v>
      </c>
      <c r="N14" s="49">
        <v>17151.660055205306</v>
      </c>
      <c r="O14" s="49">
        <v>17042.593212385298</v>
      </c>
    </row>
    <row r="15" spans="2:15" ht="15.75" thickBot="1">
      <c r="B15" s="52" t="s">
        <v>290</v>
      </c>
      <c r="C15" s="49">
        <v>2107.4519383661673</v>
      </c>
      <c r="D15" s="49">
        <v>3656.0060938516758</v>
      </c>
      <c r="E15" s="49">
        <v>5591.3050645927469</v>
      </c>
      <c r="F15" s="49">
        <v>7083.5851609015663</v>
      </c>
      <c r="G15" s="49">
        <v>8226.1542244246939</v>
      </c>
      <c r="H15" s="49">
        <v>8846.5885394177039</v>
      </c>
      <c r="I15" s="49">
        <v>9169.4910887062051</v>
      </c>
      <c r="J15" s="49">
        <v>9498.5645718389096</v>
      </c>
      <c r="K15" s="49">
        <v>9667.5411931384006</v>
      </c>
      <c r="L15" s="49">
        <v>9877.021706111369</v>
      </c>
      <c r="M15" s="49">
        <v>10088.792260299613</v>
      </c>
      <c r="N15" s="49">
        <v>10117.193601904071</v>
      </c>
      <c r="O15" s="49">
        <v>9982.9830736823551</v>
      </c>
    </row>
    <row r="16" spans="2:15" ht="15.75" thickBot="1">
      <c r="B16" s="53" t="s">
        <v>291</v>
      </c>
      <c r="C16" s="49">
        <v>2060.375752074674</v>
      </c>
      <c r="D16" s="49">
        <v>3393.2587852694974</v>
      </c>
      <c r="E16" s="49">
        <v>5016.9030874305063</v>
      </c>
      <c r="F16" s="49">
        <v>5564.1866361017164</v>
      </c>
      <c r="G16" s="49">
        <v>5895.3933091443796</v>
      </c>
      <c r="H16" s="49">
        <v>5929.4404945461574</v>
      </c>
      <c r="I16" s="49">
        <v>5828.7165904142057</v>
      </c>
      <c r="J16" s="49">
        <v>5446.5659813818611</v>
      </c>
      <c r="K16" s="49">
        <v>5250.2197573601325</v>
      </c>
      <c r="L16" s="49">
        <v>5266.3182863768288</v>
      </c>
      <c r="M16" s="49">
        <v>5430.8761407982583</v>
      </c>
      <c r="N16" s="49">
        <v>5598.6125287978266</v>
      </c>
      <c r="O16" s="49">
        <v>5665.7085530056438</v>
      </c>
    </row>
    <row r="17" spans="2:15" ht="15.75" thickBot="1"/>
    <row r="18" spans="2:15" ht="15.75" thickBot="1">
      <c r="B18" s="54" t="s">
        <v>282</v>
      </c>
      <c r="C18" s="45" t="s">
        <v>355</v>
      </c>
      <c r="D18" s="46" t="s">
        <v>356</v>
      </c>
      <c r="E18" s="46" t="s">
        <v>357</v>
      </c>
      <c r="F18" s="46" t="s">
        <v>358</v>
      </c>
      <c r="G18" s="46" t="s">
        <v>359</v>
      </c>
      <c r="H18" s="46" t="s">
        <v>360</v>
      </c>
      <c r="I18" s="46" t="s">
        <v>361</v>
      </c>
      <c r="J18" s="46" t="s">
        <v>362</v>
      </c>
      <c r="K18" s="46" t="s">
        <v>363</v>
      </c>
      <c r="L18" s="46" t="s">
        <v>364</v>
      </c>
      <c r="M18" s="46" t="s">
        <v>365</v>
      </c>
      <c r="N18" s="46" t="s">
        <v>366</v>
      </c>
      <c r="O18" s="47" t="s">
        <v>367</v>
      </c>
    </row>
    <row r="19" spans="2:15">
      <c r="B19" s="48" t="s">
        <v>289</v>
      </c>
      <c r="C19" s="49">
        <v>5702.2201756025952</v>
      </c>
      <c r="D19" s="50">
        <v>8460.1205113942324</v>
      </c>
      <c r="E19" s="50">
        <v>15457.635853755655</v>
      </c>
      <c r="F19" s="50">
        <v>20297.378925832039</v>
      </c>
      <c r="G19" s="50">
        <v>23337.868676496368</v>
      </c>
      <c r="H19" s="50">
        <v>25710.589754156943</v>
      </c>
      <c r="I19" s="50">
        <v>27143.538503953467</v>
      </c>
      <c r="J19" s="50">
        <v>28838.347025617964</v>
      </c>
      <c r="K19" s="50">
        <v>30158.529846478363</v>
      </c>
      <c r="L19" s="50">
        <v>31408.817643641567</v>
      </c>
      <c r="M19" s="50">
        <v>32497.962329037626</v>
      </c>
      <c r="N19" s="50">
        <v>32925.254829404279</v>
      </c>
      <c r="O19" s="51">
        <v>32919.529296215165</v>
      </c>
    </row>
    <row r="20" spans="2:15">
      <c r="B20" s="52" t="s">
        <v>290</v>
      </c>
      <c r="C20" s="40">
        <v>5578.1772950452314</v>
      </c>
      <c r="D20" s="39">
        <v>8274.8657453391952</v>
      </c>
      <c r="E20" s="39">
        <v>11965.923549241264</v>
      </c>
      <c r="F20" s="39">
        <v>14975.423625097672</v>
      </c>
      <c r="G20" s="39">
        <v>17399.495043714494</v>
      </c>
      <c r="H20" s="39">
        <v>19015.348384107707</v>
      </c>
      <c r="I20" s="39">
        <v>20316.068147296042</v>
      </c>
      <c r="J20" s="39">
        <v>21198.488425628901</v>
      </c>
      <c r="K20" s="39">
        <v>21777.050472645751</v>
      </c>
      <c r="L20" s="39">
        <v>22381.743710483024</v>
      </c>
      <c r="M20" s="39">
        <v>22917.251771960968</v>
      </c>
      <c r="N20" s="39">
        <v>23149.986443720325</v>
      </c>
      <c r="O20" s="41">
        <v>23099.333969125688</v>
      </c>
    </row>
    <row r="21" spans="2:15" ht="15.75" thickBot="1">
      <c r="B21" s="53" t="s">
        <v>291</v>
      </c>
      <c r="C21" s="42">
        <v>5487.4256258518544</v>
      </c>
      <c r="D21" s="43">
        <v>7848.1086404864182</v>
      </c>
      <c r="E21" s="43">
        <v>10897.036452482756</v>
      </c>
      <c r="F21" s="43">
        <v>11739.372462356339</v>
      </c>
      <c r="G21" s="43">
        <v>12293.989249782066</v>
      </c>
      <c r="H21" s="43">
        <v>12660.130865689087</v>
      </c>
      <c r="I21" s="43">
        <v>14464.28408503263</v>
      </c>
      <c r="J21" s="43">
        <v>14046.623761301282</v>
      </c>
      <c r="K21" s="43">
        <v>13983.282285275505</v>
      </c>
      <c r="L21" s="43">
        <v>14249.589047410303</v>
      </c>
      <c r="M21" s="43">
        <v>14716.140600642619</v>
      </c>
      <c r="N21" s="43">
        <v>15205.492943948426</v>
      </c>
      <c r="O21" s="44">
        <v>15484.014387304431</v>
      </c>
    </row>
    <row r="23" spans="2:15">
      <c r="C23" s="38"/>
      <c r="D23" s="38"/>
      <c r="E23" s="38"/>
      <c r="F23" s="38"/>
      <c r="G23" s="38"/>
      <c r="H23" s="38"/>
      <c r="I23" s="38"/>
      <c r="J23" s="38"/>
      <c r="K23" s="38"/>
      <c r="L23" s="38"/>
      <c r="M23" s="38"/>
      <c r="N23" s="38"/>
      <c r="O23" s="38"/>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2:H32"/>
  <sheetViews>
    <sheetView workbookViewId="0">
      <selection activeCell="B32" sqref="B32"/>
    </sheetView>
  </sheetViews>
  <sheetFormatPr defaultColWidth="8.85546875" defaultRowHeight="15"/>
  <cols>
    <col min="1" max="1" width="37.140625" bestFit="1" customWidth="1"/>
    <col min="3" max="3" width="14.42578125" bestFit="1" customWidth="1"/>
    <col min="4" max="4" width="14.42578125" customWidth="1"/>
    <col min="6" max="6" width="29.5703125" bestFit="1" customWidth="1"/>
    <col min="8" max="8" width="23.42578125" customWidth="1"/>
  </cols>
  <sheetData>
    <row r="2" spans="1:8">
      <c r="A2" s="1" t="s">
        <v>13</v>
      </c>
    </row>
    <row r="4" spans="1:8">
      <c r="A4" s="1" t="s">
        <v>8</v>
      </c>
      <c r="C4" s="3" t="s">
        <v>10</v>
      </c>
      <c r="D4" s="32"/>
      <c r="F4" s="3" t="s">
        <v>9</v>
      </c>
      <c r="H4" s="3" t="s">
        <v>5</v>
      </c>
    </row>
    <row r="5" spans="1:8">
      <c r="A5" s="2" t="s">
        <v>2</v>
      </c>
      <c r="C5" s="4" t="s">
        <v>11</v>
      </c>
      <c r="D5" s="33"/>
      <c r="F5" s="4" t="s">
        <v>0</v>
      </c>
      <c r="H5" s="4" t="s">
        <v>4</v>
      </c>
    </row>
    <row r="6" spans="1:8">
      <c r="A6" s="2" t="s">
        <v>3</v>
      </c>
      <c r="C6" s="5" t="s">
        <v>6</v>
      </c>
      <c r="D6" s="34"/>
      <c r="F6" s="5" t="s">
        <v>12</v>
      </c>
      <c r="H6" s="5" t="s">
        <v>35</v>
      </c>
    </row>
    <row r="7" spans="1:8">
      <c r="H7" s="4" t="s">
        <v>31</v>
      </c>
    </row>
    <row r="8" spans="1:8">
      <c r="A8" s="1" t="s">
        <v>19</v>
      </c>
      <c r="C8" s="3" t="s">
        <v>350</v>
      </c>
      <c r="D8" s="3" t="s">
        <v>287</v>
      </c>
      <c r="H8" s="5" t="s">
        <v>32</v>
      </c>
    </row>
    <row r="9" spans="1:8">
      <c r="A9" s="2" t="s">
        <v>20</v>
      </c>
      <c r="C9" s="2" t="s">
        <v>290</v>
      </c>
      <c r="D9">
        <v>2</v>
      </c>
      <c r="F9" s="3" t="s">
        <v>23</v>
      </c>
      <c r="H9" s="4" t="s">
        <v>1</v>
      </c>
    </row>
    <row r="10" spans="1:8">
      <c r="A10" s="2" t="s">
        <v>21</v>
      </c>
      <c r="C10" s="58">
        <v>0.95</v>
      </c>
      <c r="D10">
        <v>1</v>
      </c>
      <c r="F10" s="4" t="s">
        <v>24</v>
      </c>
      <c r="H10" s="5" t="s">
        <v>33</v>
      </c>
    </row>
    <row r="11" spans="1:8">
      <c r="C11" s="58">
        <v>0.05</v>
      </c>
      <c r="D11">
        <v>3</v>
      </c>
      <c r="F11" s="5" t="s">
        <v>30</v>
      </c>
    </row>
    <row r="12" spans="1:8">
      <c r="A12" s="1" t="s">
        <v>16</v>
      </c>
      <c r="C12" s="59" t="s">
        <v>286</v>
      </c>
      <c r="D12" s="8">
        <f>INDEX($D$9:$D$11,MATCH('Pipeline Estimator Tool'!$B$48,$C$9:$C$11,0),1)</f>
        <v>2</v>
      </c>
      <c r="H12" s="3" t="s">
        <v>38</v>
      </c>
    </row>
    <row r="13" spans="1:8">
      <c r="A13" s="2" t="s">
        <v>2</v>
      </c>
      <c r="H13" s="4" t="s">
        <v>36</v>
      </c>
    </row>
    <row r="14" spans="1:8">
      <c r="A14" s="2" t="s">
        <v>3</v>
      </c>
      <c r="F14" s="3" t="s">
        <v>22</v>
      </c>
      <c r="H14" s="5" t="s">
        <v>37</v>
      </c>
    </row>
    <row r="15" spans="1:8">
      <c r="F15" s="4" t="s">
        <v>25</v>
      </c>
    </row>
    <row r="16" spans="1:8">
      <c r="A16" s="6" t="s">
        <v>14</v>
      </c>
      <c r="F16" s="5" t="s">
        <v>26</v>
      </c>
    </row>
    <row r="17" spans="1:8">
      <c r="F17" t="s">
        <v>27</v>
      </c>
      <c r="H17" s="1"/>
    </row>
    <row r="18" spans="1:8">
      <c r="A18" s="35" t="s">
        <v>8</v>
      </c>
      <c r="C18" s="36" t="s">
        <v>281</v>
      </c>
      <c r="D18" s="37" t="s">
        <v>280</v>
      </c>
    </row>
    <row r="19" spans="1:8">
      <c r="A19" s="2" t="s">
        <v>2</v>
      </c>
      <c r="C19" s="7">
        <v>400000</v>
      </c>
      <c r="D19" s="2">
        <v>1</v>
      </c>
      <c r="F19" s="3" t="s">
        <v>29</v>
      </c>
    </row>
    <row r="20" spans="1:8">
      <c r="A20" s="2" t="s">
        <v>3</v>
      </c>
      <c r="C20" s="7">
        <v>2500000</v>
      </c>
      <c r="D20" s="2">
        <v>2</v>
      </c>
      <c r="F20" s="4" t="s">
        <v>28</v>
      </c>
    </row>
    <row r="21" spans="1:8">
      <c r="C21" s="7">
        <v>800000</v>
      </c>
      <c r="D21" s="2">
        <v>3</v>
      </c>
      <c r="F21" s="5" t="s">
        <v>15</v>
      </c>
    </row>
    <row r="22" spans="1:8">
      <c r="A22" s="1" t="s">
        <v>8</v>
      </c>
      <c r="C22" s="7">
        <v>500000</v>
      </c>
      <c r="D22" s="2">
        <v>4</v>
      </c>
    </row>
    <row r="23" spans="1:8">
      <c r="A23" s="2" t="s">
        <v>17</v>
      </c>
      <c r="C23" s="7">
        <v>800000</v>
      </c>
      <c r="D23" s="2">
        <v>5</v>
      </c>
    </row>
    <row r="24" spans="1:8">
      <c r="A24" s="2" t="s">
        <v>18</v>
      </c>
      <c r="C24" s="7">
        <v>100000</v>
      </c>
      <c r="D24" s="2">
        <v>6</v>
      </c>
    </row>
    <row r="25" spans="1:8">
      <c r="C25" s="7">
        <v>50000</v>
      </c>
      <c r="D25" s="2">
        <v>7</v>
      </c>
    </row>
    <row r="27" spans="1:8">
      <c r="A27" s="36" t="s">
        <v>34</v>
      </c>
      <c r="B27" s="37" t="s">
        <v>287</v>
      </c>
      <c r="C27" s="36" t="s">
        <v>288</v>
      </c>
    </row>
    <row r="28" spans="1:8">
      <c r="A28" t="s">
        <v>283</v>
      </c>
      <c r="B28" s="2">
        <v>1</v>
      </c>
      <c r="C28" s="38">
        <v>63200000</v>
      </c>
    </row>
    <row r="29" spans="1:8">
      <c r="A29" t="s">
        <v>284</v>
      </c>
      <c r="B29" s="2">
        <v>2</v>
      </c>
      <c r="C29" s="38">
        <v>70225000</v>
      </c>
    </row>
    <row r="30" spans="1:8">
      <c r="A30" t="s">
        <v>285</v>
      </c>
      <c r="B30" s="2">
        <v>3</v>
      </c>
      <c r="C30" s="38">
        <f>C31-C28-C29</f>
        <v>198075000</v>
      </c>
    </row>
    <row r="31" spans="1:8">
      <c r="A31" t="s">
        <v>282</v>
      </c>
      <c r="B31" s="2">
        <v>4</v>
      </c>
      <c r="C31" s="38">
        <v>331500000</v>
      </c>
    </row>
    <row r="32" spans="1:8">
      <c r="A32" s="56" t="s">
        <v>286</v>
      </c>
      <c r="B32" s="56">
        <f>INDEX(B28:B31,MATCH('Pipeline Estimator Tool'!$A$22,$A$28:$A$31,0),1)</f>
        <v>1</v>
      </c>
      <c r="C32" s="57">
        <f>INDEX(C28:C31,MATCH('Pipeline Estimator Tool'!$A$22,$A$28:$A$31,0),1)</f>
        <v>63200000</v>
      </c>
    </row>
  </sheetData>
  <pageMargins left="0.7" right="0.7" top="0.75" bottom="0.75" header="0.3" footer="0.3"/>
  <pageSetup orientation="portrait"/>
  <tableParts count="5">
    <tablePart r:id="rId1"/>
    <tablePart r:id="rId2"/>
    <tablePart r:id="rId3"/>
    <tablePart r:id="rId4"/>
    <tablePart r:id="rId5"/>
  </tablePart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D3:T37"/>
  <sheetViews>
    <sheetView workbookViewId="0">
      <selection activeCell="V3" sqref="V3"/>
    </sheetView>
  </sheetViews>
  <sheetFormatPr defaultColWidth="8.85546875" defaultRowHeight="15"/>
  <sheetData>
    <row r="3" spans="4:20" ht="15.75" thickBot="1">
      <c r="D3" s="9"/>
      <c r="E3" s="9"/>
      <c r="F3" s="9"/>
      <c r="G3" s="9"/>
      <c r="H3" s="9"/>
      <c r="I3" s="9"/>
      <c r="M3" s="9"/>
      <c r="N3" s="9"/>
      <c r="O3" s="9"/>
      <c r="P3" s="9"/>
      <c r="Q3" s="9"/>
      <c r="R3" s="9"/>
      <c r="S3" s="9"/>
      <c r="T3" s="9"/>
    </row>
    <row r="4" spans="4:20" ht="15.75" thickBot="1">
      <c r="D4" s="9"/>
      <c r="E4" s="10" t="s">
        <v>39</v>
      </c>
      <c r="F4" s="11"/>
      <c r="G4" s="9"/>
      <c r="H4" s="9"/>
      <c r="I4" s="9"/>
      <c r="M4" s="9"/>
      <c r="N4" s="10" t="s">
        <v>40</v>
      </c>
      <c r="O4" s="11"/>
      <c r="P4" s="9"/>
      <c r="Q4" s="9"/>
      <c r="R4" s="9"/>
      <c r="S4" s="9"/>
      <c r="T4" s="9"/>
    </row>
    <row r="5" spans="4:20">
      <c r="D5" s="9"/>
      <c r="E5" s="9"/>
      <c r="F5" s="9"/>
      <c r="G5" s="9"/>
      <c r="H5" s="9" t="s">
        <v>41</v>
      </c>
      <c r="I5" s="9"/>
      <c r="M5" s="9"/>
      <c r="N5" s="9"/>
      <c r="O5" s="9"/>
      <c r="P5" s="9"/>
      <c r="Q5" s="9"/>
      <c r="R5" s="9"/>
      <c r="S5" s="9"/>
      <c r="T5" s="9"/>
    </row>
    <row r="6" spans="4:20">
      <c r="D6" s="9"/>
      <c r="E6" s="9" t="s">
        <v>42</v>
      </c>
      <c r="F6" s="9"/>
      <c r="G6" s="9"/>
      <c r="H6" s="9" t="s">
        <v>17</v>
      </c>
      <c r="I6" s="9"/>
      <c r="M6" s="9"/>
      <c r="N6" s="9"/>
      <c r="O6" s="9"/>
      <c r="P6" s="9"/>
      <c r="Q6" s="9"/>
      <c r="R6" s="9"/>
      <c r="S6" s="9"/>
      <c r="T6" s="9"/>
    </row>
    <row r="7" spans="4:20">
      <c r="D7" s="9"/>
      <c r="E7" s="9" t="s">
        <v>43</v>
      </c>
      <c r="F7" s="9"/>
      <c r="G7" s="9"/>
      <c r="H7" s="9" t="s">
        <v>18</v>
      </c>
      <c r="I7" s="9"/>
      <c r="M7" s="9"/>
      <c r="N7" s="9" t="s">
        <v>44</v>
      </c>
      <c r="O7" s="9" t="s">
        <v>45</v>
      </c>
      <c r="P7" s="9" t="s">
        <v>46</v>
      </c>
      <c r="Q7" s="9"/>
      <c r="R7" s="9"/>
      <c r="S7" s="9"/>
      <c r="T7" s="9"/>
    </row>
    <row r="8" spans="4:20">
      <c r="D8" s="9"/>
      <c r="E8" s="9" t="s">
        <v>47</v>
      </c>
      <c r="F8" s="9"/>
      <c r="G8" s="9"/>
      <c r="H8" s="9" t="s">
        <v>17</v>
      </c>
      <c r="I8" s="9"/>
      <c r="M8" s="9"/>
      <c r="N8" s="9">
        <v>1</v>
      </c>
      <c r="O8" s="9">
        <v>1</v>
      </c>
      <c r="P8" s="9">
        <v>1</v>
      </c>
      <c r="Q8" s="9"/>
      <c r="R8" s="9"/>
      <c r="S8" s="9"/>
      <c r="T8" s="9"/>
    </row>
    <row r="9" spans="4:20">
      <c r="D9" s="9"/>
      <c r="E9" s="9" t="s">
        <v>48</v>
      </c>
      <c r="F9" s="9"/>
      <c r="G9" s="9"/>
      <c r="H9" s="9" t="s">
        <v>18</v>
      </c>
      <c r="I9" s="9"/>
      <c r="M9" s="9"/>
      <c r="N9" s="9"/>
      <c r="O9" s="9"/>
      <c r="P9" s="9"/>
      <c r="Q9" s="9"/>
      <c r="R9" s="9"/>
      <c r="S9" s="9"/>
      <c r="T9" s="9"/>
    </row>
    <row r="10" spans="4:20">
      <c r="D10" s="9"/>
      <c r="E10" s="9" t="s">
        <v>49</v>
      </c>
      <c r="F10" s="9"/>
      <c r="G10" s="9"/>
      <c r="H10" s="9" t="s">
        <v>17</v>
      </c>
      <c r="I10" s="9"/>
      <c r="M10" s="9"/>
      <c r="N10" s="9" t="s">
        <v>44</v>
      </c>
      <c r="O10" s="9" t="s">
        <v>45</v>
      </c>
      <c r="P10" s="9" t="s">
        <v>46</v>
      </c>
      <c r="Q10" s="9"/>
      <c r="R10" s="9" t="s">
        <v>50</v>
      </c>
      <c r="S10" s="9"/>
      <c r="T10" s="9"/>
    </row>
    <row r="11" spans="4:20">
      <c r="D11" s="9"/>
      <c r="E11" s="9"/>
      <c r="F11" s="9"/>
      <c r="G11" s="9"/>
      <c r="H11" s="9"/>
      <c r="I11" s="9"/>
      <c r="M11" s="9"/>
      <c r="N11" s="9">
        <v>1</v>
      </c>
      <c r="O11" s="9">
        <v>1</v>
      </c>
      <c r="P11" s="9"/>
      <c r="Q11" s="9"/>
      <c r="R11" s="9">
        <f>IF(H6="Yes",1,0)</f>
        <v>1</v>
      </c>
      <c r="S11" s="9" t="s">
        <v>51</v>
      </c>
      <c r="T11" s="9"/>
    </row>
    <row r="12" spans="4:20">
      <c r="D12" s="9"/>
      <c r="E12" s="9"/>
      <c r="F12" s="9"/>
      <c r="G12" s="9"/>
      <c r="H12" s="9"/>
      <c r="I12" s="9"/>
      <c r="M12" s="9"/>
      <c r="N12" s="9">
        <v>0</v>
      </c>
      <c r="O12" s="9">
        <v>1</v>
      </c>
      <c r="P12" s="9"/>
      <c r="Q12" s="9"/>
      <c r="R12" s="9">
        <f>IF(H7="Yes",1,0)</f>
        <v>0</v>
      </c>
      <c r="S12" s="9" t="s">
        <v>52</v>
      </c>
      <c r="T12" s="9"/>
    </row>
    <row r="13" spans="4:20">
      <c r="D13" s="9"/>
      <c r="E13" s="9"/>
      <c r="F13" s="9"/>
      <c r="G13" s="9"/>
      <c r="H13" s="9"/>
      <c r="I13" s="9"/>
      <c r="M13" s="9"/>
      <c r="N13" s="9">
        <v>1</v>
      </c>
      <c r="O13" s="9"/>
      <c r="P13" s="9">
        <v>1</v>
      </c>
      <c r="Q13" s="9"/>
      <c r="R13" s="9">
        <f>IF(H8="Yes",1,0)</f>
        <v>1</v>
      </c>
      <c r="S13" s="9" t="s">
        <v>53</v>
      </c>
      <c r="T13" s="9"/>
    </row>
    <row r="14" spans="4:20">
      <c r="D14" s="9"/>
      <c r="E14" s="12" t="s">
        <v>54</v>
      </c>
      <c r="F14" s="9"/>
      <c r="G14" s="9"/>
      <c r="H14" s="9"/>
      <c r="I14" s="9"/>
      <c r="M14" s="9"/>
      <c r="N14" s="9">
        <v>1</v>
      </c>
      <c r="O14" s="9"/>
      <c r="P14" s="9"/>
      <c r="Q14" s="9"/>
      <c r="R14" s="9">
        <f>IF(H9="Yes",1,0)</f>
        <v>0</v>
      </c>
      <c r="S14" s="9" t="s">
        <v>55</v>
      </c>
      <c r="T14" s="9"/>
    </row>
    <row r="15" spans="4:20">
      <c r="M15" s="9"/>
      <c r="N15" s="9">
        <v>1</v>
      </c>
      <c r="O15" s="9"/>
      <c r="P15" s="9"/>
      <c r="Q15" s="9"/>
      <c r="R15" s="9">
        <f>IF(H10="Yes",1,0)</f>
        <v>1</v>
      </c>
      <c r="S15" s="9" t="s">
        <v>56</v>
      </c>
      <c r="T15" s="9"/>
    </row>
    <row r="16" spans="4:20">
      <c r="M16" s="9"/>
      <c r="N16" s="9"/>
      <c r="O16" s="9"/>
      <c r="P16" s="9"/>
      <c r="Q16" s="9"/>
      <c r="R16" s="9"/>
      <c r="S16" s="9"/>
      <c r="T16" s="9"/>
    </row>
    <row r="17" spans="4:20" ht="15.75" thickBot="1">
      <c r="D17" s="9"/>
      <c r="E17" s="9"/>
      <c r="F17" s="9"/>
      <c r="G17" s="9"/>
      <c r="H17" s="9"/>
      <c r="I17" s="9"/>
      <c r="M17" s="12" t="s">
        <v>57</v>
      </c>
      <c r="N17" s="9">
        <f>DPRODUCT($N$10:$R$15,"Answers",N7:N8)</f>
        <v>0</v>
      </c>
      <c r="O17" s="9">
        <f>DPRODUCT($N$10:$R$15,"Answers",O7:O8)</f>
        <v>0</v>
      </c>
      <c r="P17" s="9">
        <f>DPRODUCT($N$10:$R$15,"Answers",P7:P8)</f>
        <v>1</v>
      </c>
      <c r="Q17" s="9"/>
      <c r="R17" s="9"/>
      <c r="S17" s="9"/>
      <c r="T17" s="9"/>
    </row>
    <row r="18" spans="4:20" ht="15.75" thickBot="1">
      <c r="D18" s="9"/>
      <c r="E18" s="10" t="s">
        <v>58</v>
      </c>
      <c r="F18" s="11"/>
      <c r="G18" s="9"/>
      <c r="H18" s="9"/>
      <c r="I18" s="9"/>
      <c r="M18" s="9"/>
      <c r="N18" s="9"/>
      <c r="O18" s="9"/>
      <c r="P18" s="9"/>
      <c r="Q18" s="9"/>
      <c r="R18" s="9"/>
      <c r="S18" s="9"/>
      <c r="T18" s="9"/>
    </row>
    <row r="19" spans="4:20">
      <c r="D19" s="13" t="s">
        <v>59</v>
      </c>
      <c r="E19" s="9" t="str">
        <f>IF(N17=1,"6)  ","")</f>
        <v/>
      </c>
      <c r="F19" s="9"/>
      <c r="G19" s="9"/>
      <c r="H19" s="9"/>
      <c r="I19" s="9"/>
      <c r="M19" s="9"/>
      <c r="N19" s="9"/>
      <c r="O19" s="9"/>
      <c r="P19" s="9"/>
      <c r="Q19" s="9"/>
      <c r="R19" s="9"/>
      <c r="S19" s="9"/>
      <c r="T19" s="9"/>
    </row>
    <row r="20" spans="4:20">
      <c r="D20" s="13" t="s">
        <v>59</v>
      </c>
      <c r="E20" s="9" t="str">
        <f>IF(O17=1,"7)  ","")</f>
        <v/>
      </c>
      <c r="F20" s="9"/>
      <c r="G20" s="9"/>
      <c r="H20" s="9"/>
      <c r="I20" s="9"/>
      <c r="M20" s="9"/>
      <c r="N20" s="9"/>
      <c r="O20" s="9"/>
      <c r="P20" s="9"/>
      <c r="Q20" s="9"/>
      <c r="R20" s="9"/>
      <c r="S20" s="9"/>
      <c r="T20" s="9"/>
    </row>
    <row r="21" spans="4:20">
      <c r="D21" s="13" t="s">
        <v>59</v>
      </c>
      <c r="E21" s="9" t="str">
        <f>IF(P17=1,"8)  ","")</f>
        <v xml:space="preserve">8)  </v>
      </c>
      <c r="F21" s="9"/>
      <c r="G21" s="9"/>
      <c r="H21" s="9" t="s">
        <v>17</v>
      </c>
      <c r="I21" s="9"/>
      <c r="M21" s="9"/>
      <c r="N21" s="12" t="s">
        <v>60</v>
      </c>
      <c r="O21" s="9"/>
      <c r="P21" s="9"/>
      <c r="Q21" s="9"/>
      <c r="R21" s="9"/>
      <c r="S21" s="9"/>
      <c r="T21" s="9"/>
    </row>
    <row r="22" spans="4:20">
      <c r="D22" s="9"/>
      <c r="E22" s="9"/>
      <c r="F22" s="9"/>
      <c r="G22" s="9"/>
      <c r="H22" s="9"/>
      <c r="I22" s="9"/>
      <c r="M22" s="9"/>
      <c r="N22" s="12" t="s">
        <v>61</v>
      </c>
      <c r="O22" s="9"/>
      <c r="P22" s="9"/>
      <c r="Q22" s="9"/>
      <c r="R22" s="9"/>
      <c r="S22" s="9"/>
      <c r="T22" s="9"/>
    </row>
    <row r="23" spans="4:20">
      <c r="D23" s="12" t="s">
        <v>62</v>
      </c>
      <c r="E23" s="9"/>
      <c r="F23" s="9"/>
      <c r="G23" s="9"/>
      <c r="H23" s="9"/>
      <c r="I23" s="9"/>
    </row>
    <row r="24" spans="4:20" ht="15.75" thickBot="1">
      <c r="D24" s="9"/>
      <c r="E24" s="9"/>
      <c r="F24" s="9"/>
      <c r="G24" s="9"/>
      <c r="H24" s="9"/>
      <c r="I24" s="9"/>
      <c r="M24" s="9"/>
      <c r="N24" s="9"/>
      <c r="O24" s="9"/>
      <c r="P24" s="9"/>
      <c r="Q24" s="9"/>
      <c r="R24" s="9"/>
      <c r="S24" s="9"/>
      <c r="T24" s="9"/>
    </row>
    <row r="25" spans="4:20" ht="15.75" thickBot="1">
      <c r="M25" s="9"/>
      <c r="N25" s="9" t="s">
        <v>63</v>
      </c>
      <c r="O25" s="9" t="s">
        <v>64</v>
      </c>
      <c r="P25" s="9" t="s">
        <v>65</v>
      </c>
      <c r="Q25" s="9"/>
      <c r="R25" s="10" t="s">
        <v>66</v>
      </c>
      <c r="S25" s="11"/>
      <c r="T25" s="9"/>
    </row>
    <row r="26" spans="4:20">
      <c r="M26" s="9"/>
      <c r="N26" s="9">
        <v>1</v>
      </c>
      <c r="O26" s="9">
        <v>1</v>
      </c>
      <c r="P26" s="9">
        <v>1</v>
      </c>
      <c r="Q26" s="9"/>
      <c r="R26" s="9"/>
      <c r="S26" s="9"/>
      <c r="T26" s="9"/>
    </row>
    <row r="27" spans="4:20" ht="15.75" thickBot="1">
      <c r="D27" s="9"/>
      <c r="E27" s="9"/>
      <c r="F27" s="9"/>
      <c r="G27" s="9"/>
      <c r="H27" s="9"/>
      <c r="I27" s="9"/>
      <c r="M27" s="9"/>
      <c r="N27" s="9"/>
      <c r="O27" s="9"/>
      <c r="P27" s="9"/>
      <c r="Q27" s="9"/>
      <c r="R27" s="9"/>
      <c r="S27" s="9"/>
      <c r="T27" s="9"/>
    </row>
    <row r="28" spans="4:20" ht="15.75" thickBot="1">
      <c r="D28" s="9"/>
      <c r="E28" s="10" t="s">
        <v>67</v>
      </c>
      <c r="F28" s="11"/>
      <c r="G28" s="9"/>
      <c r="H28" s="9"/>
      <c r="I28" s="9"/>
      <c r="M28" s="9"/>
      <c r="N28" s="9" t="s">
        <v>63</v>
      </c>
      <c r="O28" s="9" t="s">
        <v>64</v>
      </c>
      <c r="P28" s="9" t="s">
        <v>65</v>
      </c>
      <c r="Q28" s="9"/>
      <c r="R28" s="9" t="s">
        <v>50</v>
      </c>
      <c r="S28" s="9"/>
      <c r="T28" s="9"/>
    </row>
    <row r="29" spans="4:20">
      <c r="D29" s="9"/>
      <c r="E29" s="9"/>
      <c r="F29" s="9"/>
      <c r="G29" s="9"/>
      <c r="H29" s="9"/>
      <c r="I29" s="9"/>
      <c r="M29" s="9"/>
      <c r="N29" s="9">
        <v>1</v>
      </c>
      <c r="O29" s="9"/>
      <c r="P29" s="9"/>
      <c r="Q29" s="9"/>
      <c r="R29" s="9">
        <f>N17</f>
        <v>0</v>
      </c>
      <c r="S29" s="13" t="s">
        <v>68</v>
      </c>
      <c r="T29" s="9"/>
    </row>
    <row r="30" spans="4:20">
      <c r="D30" s="13" t="s">
        <v>59</v>
      </c>
      <c r="E30" s="9" t="str">
        <f>IF(N36=1,"PBA","")</f>
        <v/>
      </c>
      <c r="F30" s="9"/>
      <c r="G30" s="9"/>
      <c r="H30" s="9"/>
      <c r="I30" s="9"/>
      <c r="M30" s="9"/>
      <c r="N30" s="9"/>
      <c r="O30" s="9">
        <v>1</v>
      </c>
      <c r="P30" s="9"/>
      <c r="Q30" s="9"/>
      <c r="R30" s="9">
        <f>O17</f>
        <v>0</v>
      </c>
      <c r="S30" s="13" t="s">
        <v>69</v>
      </c>
      <c r="T30" s="9"/>
    </row>
    <row r="31" spans="4:20">
      <c r="D31" s="13" t="s">
        <v>59</v>
      </c>
      <c r="E31" s="9" t="str">
        <f>IF(O36=1,"MBC","")</f>
        <v/>
      </c>
      <c r="F31" s="9"/>
      <c r="G31" s="9"/>
      <c r="H31" s="9"/>
      <c r="I31" s="9"/>
      <c r="M31" s="9"/>
      <c r="N31" s="9"/>
      <c r="O31" s="9"/>
      <c r="P31" s="9">
        <v>1</v>
      </c>
      <c r="Q31" s="9"/>
      <c r="R31" s="9">
        <f>P17</f>
        <v>1</v>
      </c>
      <c r="S31" s="13" t="s">
        <v>70</v>
      </c>
      <c r="T31" s="9"/>
    </row>
    <row r="32" spans="4:20">
      <c r="D32" s="13" t="s">
        <v>59</v>
      </c>
      <c r="E32" s="9" t="str">
        <f>IF(P36=1,"ORBM","")</f>
        <v>ORBM</v>
      </c>
      <c r="F32" s="9"/>
      <c r="G32" s="9"/>
      <c r="H32" s="9"/>
      <c r="I32" s="9"/>
      <c r="M32" s="9"/>
      <c r="N32" s="9">
        <v>1</v>
      </c>
      <c r="O32" s="9"/>
      <c r="P32" s="9"/>
      <c r="Q32" s="9"/>
      <c r="R32" s="9">
        <f>IF(H19="Yes",1,0)</f>
        <v>0</v>
      </c>
      <c r="S32" s="9" t="s">
        <v>71</v>
      </c>
      <c r="T32" s="9"/>
    </row>
    <row r="33" spans="4:20">
      <c r="D33" s="9"/>
      <c r="E33" s="9"/>
      <c r="F33" s="9"/>
      <c r="G33" s="9"/>
      <c r="H33" s="9"/>
      <c r="I33" s="9"/>
      <c r="M33" s="9"/>
      <c r="N33" s="9"/>
      <c r="O33" s="9">
        <v>1</v>
      </c>
      <c r="P33" s="9"/>
      <c r="Q33" s="9"/>
      <c r="R33" s="9">
        <f>IF(H20="Yes",1,0)</f>
        <v>0</v>
      </c>
      <c r="S33" s="9" t="s">
        <v>72</v>
      </c>
      <c r="T33" s="9"/>
    </row>
    <row r="34" spans="4:20">
      <c r="D34" s="12" t="s">
        <v>73</v>
      </c>
      <c r="E34" s="9"/>
      <c r="F34" s="9"/>
      <c r="G34" s="9"/>
      <c r="H34" s="9"/>
      <c r="I34" s="9"/>
      <c r="M34" s="9"/>
      <c r="N34" s="9"/>
      <c r="O34" s="9"/>
      <c r="P34" s="9">
        <v>1</v>
      </c>
      <c r="Q34" s="9"/>
      <c r="R34" s="9">
        <f>IF(H21="Yes",1,0)</f>
        <v>1</v>
      </c>
      <c r="S34" s="9" t="s">
        <v>74</v>
      </c>
      <c r="T34" s="9"/>
    </row>
    <row r="35" spans="4:20">
      <c r="D35" s="9"/>
      <c r="E35" s="9"/>
      <c r="F35" s="9"/>
      <c r="G35" s="9"/>
      <c r="H35" s="9"/>
      <c r="I35" s="9"/>
      <c r="M35" s="9"/>
      <c r="N35" s="9"/>
      <c r="O35" s="9"/>
      <c r="P35" s="9"/>
      <c r="Q35" s="9"/>
      <c r="R35" s="9"/>
      <c r="S35" s="9"/>
      <c r="T35" s="9"/>
    </row>
    <row r="36" spans="4:20">
      <c r="M36" s="12" t="s">
        <v>75</v>
      </c>
      <c r="N36" s="9">
        <f>DPRODUCT($N$28:$R$34,"Answers",N25:N26)</f>
        <v>0</v>
      </c>
      <c r="O36" s="9">
        <f t="shared" ref="O36:P36" si="0">DPRODUCT($N$28:$R$34,"Answers",O25:O26)</f>
        <v>0</v>
      </c>
      <c r="P36" s="9">
        <f t="shared" si="0"/>
        <v>1</v>
      </c>
      <c r="Q36" s="9"/>
      <c r="R36" s="9"/>
      <c r="S36" s="9"/>
      <c r="T36" s="9"/>
    </row>
    <row r="37" spans="4:20">
      <c r="M37" s="9"/>
      <c r="N37" s="9"/>
      <c r="O37" s="9"/>
      <c r="P37" s="9"/>
      <c r="Q37" s="9"/>
      <c r="R37" s="9"/>
      <c r="S37" s="9"/>
      <c r="T37" s="9"/>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Terms of Use</vt:lpstr>
      <vt:lpstr>Instructions</vt:lpstr>
      <vt:lpstr>Pipeline Estimator Tool</vt:lpstr>
      <vt:lpstr>Hidden Pipeline Data</vt:lpstr>
      <vt:lpstr>Hidden Drop Down Lists</vt:lpstr>
      <vt:lpstr>Hidden Logic page</vt:lpstr>
      <vt:lpstr>Instructions!Print_Area</vt:lpstr>
      <vt:lpstr>'Pipeline Estimator Tool'!Print_Area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Danielle Rollmann</dc:creator>
  <cp:lastModifiedBy>Phares, Sharon</cp:lastModifiedBy>
  <cp:lastPrinted>2019-08-27T19:09:17Z</cp:lastPrinted>
  <dcterms:created xsi:type="dcterms:W3CDTF">2019-03-21T14:28:31Z</dcterms:created>
  <dcterms:modified xsi:type="dcterms:W3CDTF">2025-06-14T13:31:19Z</dcterms:modified>
</cp:coreProperties>
</file>