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autoCompressPictures="0" defaultThemeVersion="166925"/>
  <mc:AlternateContent xmlns:mc="http://schemas.openxmlformats.org/markup-compatibility/2006">
    <mc:Choice Requires="x15">
      <x15ac:absPath xmlns:x15ac="http://schemas.microsoft.com/office/spreadsheetml/2010/11/ac" url="https://wellforceinc-my.sharepoint.com/personal/sharon_phares_tuftsmedicalcenter_org/Documents/Documents/Cell and Gene Therapy/CGT List for Toolkit/"/>
    </mc:Choice>
  </mc:AlternateContent>
  <xr:revisionPtr revIDLastSave="7" documentId="8_{8B7B5567-85EA-4EA3-8902-ABF1D2BFCFC3}" xr6:coauthVersionLast="47" xr6:coauthVersionMax="47" xr10:uidLastSave="{A1A8C02F-C5D7-4F55-96A8-32C0BFF70DF8}"/>
  <workbookProtection workbookAlgorithmName="SHA-512" workbookHashValue="aLroUVhdLoX7BnTiDBWv8LwXe5ngPGd6ZKxOMFCXuCqIcL0/h5QxRdDUbegSuAij6SrIEW0r0QxnAZ8hwp24Ig==" workbookSaltValue="ML9zfbj90C+/OcSOigz6Kg==" workbookSpinCount="100000" lockStructure="1"/>
  <bookViews>
    <workbookView xWindow="-120" yWindow="-120" windowWidth="29040" windowHeight="15840" xr2:uid="{00000000-000D-0000-FFFF-FFFF00000000}"/>
  </bookViews>
  <sheets>
    <sheet name="Terms of Use" sheetId="36" r:id="rId1"/>
    <sheet name="Instructions" sheetId="35" r:id="rId2"/>
    <sheet name="Population Estimator Tool" sheetId="34" r:id="rId3"/>
    <sheet name="Market Adjustment Tool" sheetId="38" r:id="rId4"/>
    <sheet name="Therapy Impact Modeling Tool" sheetId="16" r:id="rId5"/>
    <sheet name="Sol'n Priorit Tool" sheetId="15" r:id="rId6"/>
    <sheet name="Sheet1" sheetId="39" state="veryHidden" r:id="rId7"/>
    <sheet name="PET Menu Driver" sheetId="31" state="veryHidden" r:id="rId8"/>
    <sheet name="Calculations" sheetId="19" state="veryHidden" r:id="rId9"/>
    <sheet name="Hidden Drop Down Lists" sheetId="3" state="veryHidden" r:id="rId10"/>
    <sheet name="Therapeutic Classes - Diseases" sheetId="32" state="veryHidden" r:id="rId11"/>
    <sheet name="Disease - Adoption Data" sheetId="37" state="veryHidden" r:id="rId12"/>
    <sheet name="Disease - complete" sheetId="30" state="veryHidden" r:id="rId13"/>
    <sheet name="Disease - Therapeutic Class" sheetId="29" state="veryHidden" r:id="rId14"/>
    <sheet name="Hidden Logic page" sheetId="23" state="veryHidden" r:id="rId15"/>
    <sheet name="Hidden Sol'n Priorit. Table" sheetId="22" state="veryHidden" r:id="rId16"/>
  </sheets>
  <externalReferences>
    <externalReference r:id="rId17"/>
  </externalReferences>
  <definedNames>
    <definedName name="_xlnm._FilterDatabase" localSheetId="12" hidden="1">'Disease - complete'!$A$1:$R$1</definedName>
    <definedName name="_Hlk32827525" localSheetId="1">Instructions!#REF!</definedName>
    <definedName name="delta">Calculations!$Q$1</definedName>
    <definedName name="dult">'Disease - Adoption Data'!$B$84</definedName>
    <definedName name="_xlnm.Print_Area" localSheetId="1">Instructions!$A$1:$S$57</definedName>
    <definedName name="_xlnm.Print_Area" localSheetId="2">'Population Estimator Tool'!$A$1:$H$49</definedName>
    <definedName name="_xlnm.Print_Area" localSheetId="5">'Sol''n Priorit Tool'!$A$1:$K$146</definedName>
    <definedName name="_xlnm.Print_Area" localSheetId="0">'Terms of Use'!$A$1:$R$162</definedName>
    <definedName name="_xlnm.Print_Area" localSheetId="4">'Therapy Impact Modeling Tool'!$A$23:$I$47</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9" i="30" l="1"/>
  <c r="G469" i="30"/>
  <c r="H468" i="30"/>
  <c r="G468" i="30"/>
  <c r="A468" i="30"/>
  <c r="H467" i="30"/>
  <c r="G467" i="30"/>
  <c r="H466" i="30"/>
  <c r="G466" i="30"/>
  <c r="H465" i="30"/>
  <c r="G465" i="30"/>
  <c r="H464" i="30"/>
  <c r="G464" i="30"/>
  <c r="H463" i="30"/>
  <c r="G463" i="30"/>
  <c r="H462" i="30"/>
  <c r="G462" i="30"/>
  <c r="A462" i="30"/>
  <c r="H461" i="30"/>
  <c r="G461" i="30"/>
  <c r="H460" i="30"/>
  <c r="G460" i="30"/>
  <c r="H459" i="30"/>
  <c r="G459" i="30"/>
  <c r="H458" i="30"/>
  <c r="G458" i="30"/>
  <c r="A458" i="30"/>
  <c r="H457" i="30"/>
  <c r="G457" i="30"/>
  <c r="A457" i="30"/>
  <c r="H456" i="30"/>
  <c r="G456" i="30"/>
  <c r="H455" i="30"/>
  <c r="G455" i="30"/>
  <c r="H454" i="30"/>
  <c r="G454" i="30"/>
  <c r="H453" i="30"/>
  <c r="G453" i="30"/>
  <c r="H452" i="30"/>
  <c r="G452" i="30"/>
  <c r="H451" i="30"/>
  <c r="G451" i="30"/>
  <c r="H450" i="30"/>
  <c r="G450" i="30"/>
  <c r="H449" i="30"/>
  <c r="G449" i="30"/>
  <c r="H448" i="30"/>
  <c r="G448" i="30"/>
  <c r="H447" i="30"/>
  <c r="G447" i="30"/>
  <c r="A447" i="30"/>
  <c r="H446" i="30"/>
  <c r="G446" i="30"/>
  <c r="A446" i="30"/>
  <c r="H445" i="30"/>
  <c r="G445" i="30"/>
  <c r="A445" i="30"/>
  <c r="H444" i="30"/>
  <c r="G444" i="30"/>
  <c r="A444" i="30"/>
  <c r="H443" i="30"/>
  <c r="G443" i="30"/>
  <c r="A443" i="30"/>
  <c r="H442" i="30"/>
  <c r="G442" i="30"/>
  <c r="A442" i="30"/>
  <c r="H441" i="30"/>
  <c r="G441" i="30"/>
  <c r="A441" i="30"/>
  <c r="H440" i="30"/>
  <c r="G440" i="30"/>
  <c r="A440" i="30"/>
  <c r="H439" i="30"/>
  <c r="G439" i="30"/>
  <c r="A439" i="30"/>
  <c r="H438" i="30"/>
  <c r="G438" i="30"/>
  <c r="H437" i="30"/>
  <c r="G437" i="30"/>
  <c r="H436" i="30"/>
  <c r="G436" i="30"/>
  <c r="H435" i="30"/>
  <c r="G435" i="30"/>
  <c r="H434" i="30"/>
  <c r="G434" i="30"/>
  <c r="H433" i="30"/>
  <c r="G433" i="30"/>
  <c r="H432" i="30"/>
  <c r="G432" i="30"/>
  <c r="H431" i="30"/>
  <c r="G431" i="30"/>
  <c r="A431" i="30"/>
  <c r="H430" i="30"/>
  <c r="G430" i="30"/>
  <c r="A430" i="30"/>
  <c r="H429" i="30"/>
  <c r="G429" i="30"/>
  <c r="H428" i="30"/>
  <c r="G428" i="30"/>
  <c r="H427" i="30"/>
  <c r="G427" i="30"/>
  <c r="H426" i="30"/>
  <c r="G426" i="30"/>
  <c r="A426" i="30"/>
  <c r="H425" i="30"/>
  <c r="G425" i="30"/>
  <c r="A425" i="30"/>
  <c r="H424" i="30"/>
  <c r="G424" i="30"/>
  <c r="A424" i="30"/>
  <c r="H423" i="30"/>
  <c r="G423" i="30"/>
  <c r="A423" i="30"/>
  <c r="H422" i="30"/>
  <c r="G422" i="30"/>
  <c r="A422" i="30"/>
  <c r="H421" i="30"/>
  <c r="G421" i="30"/>
  <c r="H420" i="30"/>
  <c r="G420" i="30"/>
  <c r="A420" i="30"/>
  <c r="H419" i="30"/>
  <c r="G419" i="30"/>
  <c r="H418" i="30"/>
  <c r="G418" i="30"/>
  <c r="A418" i="30"/>
  <c r="H417" i="30"/>
  <c r="G417" i="30"/>
  <c r="H416" i="30"/>
  <c r="G416" i="30"/>
  <c r="H415" i="30"/>
  <c r="G415" i="30"/>
  <c r="H414" i="30"/>
  <c r="G414" i="30"/>
  <c r="H413" i="30"/>
  <c r="G413" i="30"/>
  <c r="H412" i="30"/>
  <c r="G412" i="30"/>
  <c r="H411" i="30"/>
  <c r="G411" i="30"/>
  <c r="H410" i="30"/>
  <c r="G410" i="30"/>
  <c r="H409" i="30"/>
  <c r="G409" i="30"/>
  <c r="A409" i="30"/>
  <c r="H408" i="30"/>
  <c r="G408" i="30"/>
  <c r="A408" i="30"/>
  <c r="H407" i="30"/>
  <c r="G407" i="30"/>
  <c r="H406" i="30"/>
  <c r="G406" i="30"/>
  <c r="H405" i="30"/>
  <c r="G405" i="30"/>
  <c r="H404" i="30"/>
  <c r="G404" i="30"/>
  <c r="A404" i="30"/>
  <c r="H403" i="30"/>
  <c r="G403" i="30"/>
  <c r="A403" i="30"/>
  <c r="H402" i="30"/>
  <c r="G402" i="30"/>
  <c r="H401" i="30"/>
  <c r="G401" i="30"/>
  <c r="H400" i="30"/>
  <c r="G400" i="30"/>
  <c r="H399" i="30"/>
  <c r="G399" i="30"/>
  <c r="H398" i="30"/>
  <c r="G398" i="30"/>
  <c r="H397" i="30"/>
  <c r="G397" i="30"/>
  <c r="A397" i="30"/>
  <c r="H396" i="30"/>
  <c r="G396" i="30"/>
  <c r="H395" i="30"/>
  <c r="G395" i="30"/>
  <c r="A395" i="30"/>
  <c r="H394" i="30"/>
  <c r="G394" i="30"/>
  <c r="A394" i="30"/>
  <c r="H393" i="30"/>
  <c r="G393" i="30"/>
  <c r="A393" i="30"/>
  <c r="H392" i="30"/>
  <c r="G392" i="30"/>
  <c r="H391" i="30"/>
  <c r="G391" i="30"/>
  <c r="H390" i="30"/>
  <c r="G390" i="30"/>
  <c r="H389" i="30"/>
  <c r="G389" i="30"/>
  <c r="A389" i="30"/>
  <c r="H388" i="30"/>
  <c r="G388" i="30"/>
  <c r="H387" i="30"/>
  <c r="G387" i="30"/>
  <c r="H386" i="30"/>
  <c r="G386" i="30"/>
  <c r="H385" i="30"/>
  <c r="G385" i="30"/>
  <c r="H384" i="30"/>
  <c r="G384" i="30"/>
  <c r="A384" i="30"/>
  <c r="H383" i="30"/>
  <c r="G383" i="30"/>
  <c r="H382" i="30"/>
  <c r="G382" i="30"/>
  <c r="H381" i="30"/>
  <c r="G381" i="30"/>
  <c r="H380" i="30"/>
  <c r="G380" i="30"/>
  <c r="H379" i="30"/>
  <c r="G379" i="30"/>
  <c r="H378" i="30"/>
  <c r="G378" i="30"/>
  <c r="H377" i="30"/>
  <c r="G377" i="30"/>
  <c r="H376" i="30"/>
  <c r="G376" i="30"/>
  <c r="H375" i="30"/>
  <c r="G375" i="30"/>
  <c r="H374" i="30"/>
  <c r="G374" i="30"/>
  <c r="H373" i="30"/>
  <c r="G373" i="30"/>
  <c r="H372" i="30"/>
  <c r="G372" i="30"/>
  <c r="H371" i="30"/>
  <c r="G371" i="30"/>
  <c r="H370" i="30"/>
  <c r="G370" i="30"/>
  <c r="H369" i="30"/>
  <c r="G369" i="30"/>
  <c r="H368" i="30"/>
  <c r="G368" i="30"/>
  <c r="A368" i="30"/>
  <c r="H367" i="30"/>
  <c r="G367" i="30"/>
  <c r="A367" i="30"/>
  <c r="H366" i="30"/>
  <c r="G366" i="30"/>
  <c r="H365" i="30"/>
  <c r="G365" i="30"/>
  <c r="H364" i="30"/>
  <c r="G364" i="30"/>
  <c r="H363" i="30"/>
  <c r="G363" i="30"/>
  <c r="H362" i="30"/>
  <c r="G362" i="30"/>
  <c r="H361" i="30"/>
  <c r="G361" i="30"/>
  <c r="H360" i="30"/>
  <c r="G360" i="30"/>
  <c r="H359" i="30"/>
  <c r="G359" i="30"/>
  <c r="H358" i="30"/>
  <c r="G358" i="30"/>
  <c r="H357" i="30"/>
  <c r="G357" i="30"/>
  <c r="H356" i="30"/>
  <c r="G356" i="30"/>
  <c r="H355" i="30"/>
  <c r="G355" i="30"/>
  <c r="H354" i="30"/>
  <c r="G354" i="30"/>
  <c r="H353" i="30"/>
  <c r="G353" i="30"/>
  <c r="H352" i="30"/>
  <c r="G352" i="30"/>
  <c r="H351" i="30"/>
  <c r="G351" i="30"/>
  <c r="H350" i="30"/>
  <c r="G350" i="30"/>
  <c r="A350" i="30"/>
  <c r="H349" i="30"/>
  <c r="G349" i="30"/>
  <c r="H348" i="30"/>
  <c r="G348" i="30"/>
  <c r="A348" i="30"/>
  <c r="H347" i="30"/>
  <c r="G347" i="30"/>
  <c r="H346" i="30"/>
  <c r="G346" i="30"/>
  <c r="A346" i="30"/>
  <c r="H345" i="30"/>
  <c r="G345" i="30"/>
  <c r="A345" i="30"/>
  <c r="H344" i="30"/>
  <c r="G344" i="30"/>
  <c r="A344" i="30"/>
  <c r="H343" i="30"/>
  <c r="G343" i="30"/>
  <c r="A343" i="30"/>
  <c r="H342" i="30"/>
  <c r="G342" i="30"/>
  <c r="H341" i="30"/>
  <c r="G341" i="30"/>
  <c r="A341" i="30"/>
  <c r="H340" i="30"/>
  <c r="G340" i="30"/>
  <c r="A340" i="30"/>
  <c r="H339" i="30"/>
  <c r="G339" i="30"/>
  <c r="A339" i="30"/>
  <c r="H338" i="30"/>
  <c r="G338" i="30"/>
  <c r="A338" i="30"/>
  <c r="H337" i="30"/>
  <c r="G337" i="30"/>
  <c r="A337" i="30"/>
  <c r="H336" i="30"/>
  <c r="G336" i="30"/>
  <c r="A336" i="30"/>
  <c r="H335" i="30"/>
  <c r="G335" i="30"/>
  <c r="A335" i="30"/>
  <c r="H334" i="30"/>
  <c r="G334" i="30"/>
  <c r="A334" i="30"/>
  <c r="H333" i="30"/>
  <c r="G333" i="30"/>
  <c r="A333" i="30"/>
  <c r="H332" i="30"/>
  <c r="G332" i="30"/>
  <c r="A332" i="30"/>
  <c r="H331" i="30"/>
  <c r="G331" i="30"/>
  <c r="A331" i="30"/>
  <c r="H330" i="30"/>
  <c r="G330" i="30"/>
  <c r="A330" i="30"/>
  <c r="H329" i="30"/>
  <c r="G329" i="30"/>
  <c r="A329" i="30"/>
  <c r="H328" i="30"/>
  <c r="G328" i="30"/>
  <c r="A328" i="30"/>
  <c r="H327" i="30"/>
  <c r="G327" i="30"/>
  <c r="A327" i="30"/>
  <c r="H326" i="30"/>
  <c r="G326" i="30"/>
  <c r="A326" i="30"/>
  <c r="H325" i="30"/>
  <c r="G325" i="30"/>
  <c r="A325" i="30"/>
  <c r="H324" i="30"/>
  <c r="G324" i="30"/>
  <c r="A324" i="30"/>
  <c r="H323" i="30"/>
  <c r="G323" i="30"/>
  <c r="A323" i="30"/>
  <c r="H322" i="30"/>
  <c r="G322" i="30"/>
  <c r="A322" i="30"/>
  <c r="H321" i="30"/>
  <c r="G321" i="30"/>
  <c r="A321" i="30"/>
  <c r="H320" i="30"/>
  <c r="G320" i="30"/>
  <c r="A320" i="30"/>
  <c r="H319" i="30"/>
  <c r="G319" i="30"/>
  <c r="A319" i="30"/>
  <c r="H318" i="30"/>
  <c r="G318" i="30"/>
  <c r="A318" i="30"/>
  <c r="H317" i="30"/>
  <c r="G317" i="30"/>
  <c r="A317" i="30"/>
  <c r="H316" i="30"/>
  <c r="G316" i="30"/>
  <c r="A316" i="30"/>
  <c r="H315" i="30"/>
  <c r="G315" i="30"/>
  <c r="A315" i="30"/>
  <c r="H314" i="30"/>
  <c r="G314" i="30"/>
  <c r="A314" i="30"/>
  <c r="H313" i="30"/>
  <c r="G313" i="30"/>
  <c r="A313" i="30"/>
  <c r="H312" i="30"/>
  <c r="G312" i="30"/>
  <c r="H311" i="30"/>
  <c r="G311" i="30"/>
  <c r="H310" i="30"/>
  <c r="G310" i="30"/>
  <c r="A310" i="30"/>
  <c r="H309" i="30"/>
  <c r="G309" i="30"/>
  <c r="H308" i="30"/>
  <c r="G308" i="30"/>
  <c r="A308" i="30"/>
  <c r="H307" i="30"/>
  <c r="G307" i="30"/>
  <c r="H306" i="30"/>
  <c r="G306" i="30"/>
  <c r="A306" i="30"/>
  <c r="H305" i="30"/>
  <c r="G305" i="30"/>
  <c r="A305" i="30"/>
  <c r="H304" i="30"/>
  <c r="G304" i="30"/>
  <c r="H303" i="30"/>
  <c r="G303" i="30"/>
  <c r="H302" i="30"/>
  <c r="G302" i="30"/>
  <c r="A302" i="30"/>
  <c r="H301" i="30"/>
  <c r="G301" i="30"/>
  <c r="A301" i="30"/>
  <c r="H300" i="30"/>
  <c r="G300" i="30"/>
  <c r="A300" i="30"/>
  <c r="H299" i="30"/>
  <c r="G299" i="30"/>
  <c r="H298" i="30"/>
  <c r="G298" i="30"/>
  <c r="A298" i="30"/>
  <c r="H297" i="30"/>
  <c r="G297" i="30"/>
  <c r="A297" i="30"/>
  <c r="H296" i="30"/>
  <c r="G296" i="30"/>
  <c r="H295" i="30"/>
  <c r="G295" i="30"/>
  <c r="A295" i="30"/>
  <c r="H294" i="30"/>
  <c r="G294" i="30"/>
  <c r="A294" i="30"/>
  <c r="H293" i="30"/>
  <c r="G293" i="30"/>
  <c r="A293" i="30"/>
  <c r="H292" i="30"/>
  <c r="G292" i="30"/>
  <c r="H291" i="30"/>
  <c r="G291" i="30"/>
  <c r="A291" i="30"/>
  <c r="H290" i="30"/>
  <c r="G290" i="30"/>
  <c r="A290" i="30"/>
  <c r="H289" i="30"/>
  <c r="G289" i="30"/>
  <c r="A289" i="30"/>
  <c r="H288" i="30"/>
  <c r="G288" i="30"/>
  <c r="A288" i="30"/>
  <c r="H287" i="30"/>
  <c r="G287" i="30"/>
  <c r="A287" i="30"/>
  <c r="H286" i="30"/>
  <c r="G286" i="30"/>
  <c r="A286" i="30"/>
  <c r="H285" i="30"/>
  <c r="G285" i="30"/>
  <c r="A285" i="30"/>
  <c r="H284" i="30"/>
  <c r="G284" i="30"/>
  <c r="A284" i="30"/>
  <c r="H283" i="30"/>
  <c r="G283" i="30"/>
  <c r="A283" i="30"/>
  <c r="H282" i="30"/>
  <c r="G282" i="30"/>
  <c r="A282" i="30"/>
  <c r="H281" i="30"/>
  <c r="G281" i="30"/>
  <c r="A281" i="30"/>
  <c r="H280" i="30"/>
  <c r="G280" i="30"/>
  <c r="A280" i="30"/>
  <c r="H279" i="30"/>
  <c r="G279" i="30"/>
  <c r="H278" i="30"/>
  <c r="G278" i="30"/>
  <c r="A278" i="30"/>
  <c r="H277" i="30"/>
  <c r="G277" i="30"/>
  <c r="A277" i="30"/>
  <c r="H276" i="30"/>
  <c r="G276" i="30"/>
  <c r="A276" i="30"/>
  <c r="H275" i="30"/>
  <c r="G275" i="30"/>
  <c r="A275" i="30"/>
  <c r="H274" i="30"/>
  <c r="G274" i="30"/>
  <c r="A274" i="30"/>
  <c r="H273" i="30"/>
  <c r="G273" i="30"/>
  <c r="A273" i="30"/>
  <c r="H272" i="30"/>
  <c r="G272" i="30"/>
  <c r="A272" i="30"/>
  <c r="H271" i="30"/>
  <c r="G271" i="30"/>
  <c r="A271" i="30"/>
  <c r="H270" i="30"/>
  <c r="G270" i="30"/>
  <c r="A270" i="30"/>
  <c r="H269" i="30"/>
  <c r="G269" i="30"/>
  <c r="A269" i="30"/>
  <c r="H268" i="30"/>
  <c r="G268" i="30"/>
  <c r="H267" i="30"/>
  <c r="G267" i="30"/>
  <c r="A267" i="30"/>
  <c r="H266" i="30"/>
  <c r="G266" i="30"/>
  <c r="A266" i="30"/>
  <c r="H265" i="30"/>
  <c r="G265" i="30"/>
  <c r="H264" i="30"/>
  <c r="G264" i="30"/>
  <c r="A264" i="30"/>
  <c r="H263" i="30"/>
  <c r="G263" i="30"/>
  <c r="A263" i="30"/>
  <c r="H262" i="30"/>
  <c r="G262" i="30"/>
  <c r="A262" i="30"/>
  <c r="H261" i="30"/>
  <c r="G261" i="30"/>
  <c r="H260" i="30"/>
  <c r="G260" i="30"/>
  <c r="A260" i="30"/>
  <c r="H259" i="30"/>
  <c r="G259" i="30"/>
  <c r="H258" i="30"/>
  <c r="G258" i="30"/>
  <c r="A258" i="30"/>
  <c r="H257" i="30"/>
  <c r="G257" i="30"/>
  <c r="H256" i="30"/>
  <c r="G256" i="30"/>
  <c r="A256" i="30"/>
  <c r="H255" i="30"/>
  <c r="G255" i="30"/>
  <c r="A255" i="30"/>
  <c r="H254" i="30"/>
  <c r="G254" i="30"/>
  <c r="A254" i="30"/>
  <c r="H253" i="30"/>
  <c r="G253" i="30"/>
  <c r="A253" i="30"/>
  <c r="H252" i="30"/>
  <c r="G252" i="30"/>
  <c r="A252" i="30"/>
  <c r="H251" i="30"/>
  <c r="G251" i="30"/>
  <c r="A251" i="30"/>
  <c r="H250" i="30"/>
  <c r="G250" i="30"/>
  <c r="A250" i="30"/>
  <c r="H249" i="30"/>
  <c r="G249" i="30"/>
  <c r="A249" i="30"/>
  <c r="H248" i="30"/>
  <c r="G248" i="30"/>
  <c r="A248" i="30"/>
  <c r="H247" i="30"/>
  <c r="G247" i="30"/>
  <c r="A247" i="30"/>
  <c r="H246" i="30"/>
  <c r="G246" i="30"/>
  <c r="A246" i="30"/>
  <c r="H245" i="30"/>
  <c r="G245" i="30"/>
  <c r="A245" i="30"/>
  <c r="H244" i="30"/>
  <c r="G244" i="30"/>
  <c r="A244" i="30"/>
  <c r="H243" i="30"/>
  <c r="G243" i="30"/>
  <c r="A243" i="30"/>
  <c r="H242" i="30"/>
  <c r="G242" i="30"/>
  <c r="A242" i="30"/>
  <c r="H241" i="30"/>
  <c r="G241" i="30"/>
  <c r="A241" i="30"/>
  <c r="H240" i="30"/>
  <c r="G240" i="30"/>
  <c r="A240" i="30"/>
  <c r="H239" i="30"/>
  <c r="G239" i="30"/>
  <c r="A239" i="30"/>
  <c r="H238" i="30"/>
  <c r="G238" i="30"/>
  <c r="A238" i="30"/>
  <c r="H237" i="30"/>
  <c r="G237" i="30"/>
  <c r="A237" i="30"/>
  <c r="H236" i="30"/>
  <c r="G236" i="30"/>
  <c r="H235" i="30"/>
  <c r="G235" i="30"/>
  <c r="A235" i="30"/>
  <c r="H234" i="30"/>
  <c r="G234" i="30"/>
  <c r="H233" i="30"/>
  <c r="G233" i="30"/>
  <c r="H232" i="30"/>
  <c r="G232" i="30"/>
  <c r="A232" i="30"/>
  <c r="H231" i="30"/>
  <c r="G231" i="30"/>
  <c r="A231" i="30"/>
  <c r="H230" i="30"/>
  <c r="G230" i="30"/>
  <c r="A230" i="30"/>
  <c r="H229" i="30"/>
  <c r="G229" i="30"/>
  <c r="A229" i="30"/>
  <c r="H228" i="30"/>
  <c r="G228" i="30"/>
  <c r="A228" i="30"/>
  <c r="H227" i="30"/>
  <c r="G227" i="30"/>
  <c r="A227" i="30"/>
  <c r="H226" i="30"/>
  <c r="G226" i="30"/>
  <c r="A226" i="30"/>
  <c r="H225" i="30"/>
  <c r="G225" i="30"/>
  <c r="A225" i="30"/>
  <c r="H224" i="30"/>
  <c r="G224" i="30"/>
  <c r="A224" i="30"/>
  <c r="H223" i="30"/>
  <c r="G223" i="30"/>
  <c r="H222" i="30"/>
  <c r="G222" i="30"/>
  <c r="H221" i="30"/>
  <c r="G221" i="30"/>
  <c r="A221" i="30"/>
  <c r="H220" i="30"/>
  <c r="G220" i="30"/>
  <c r="A220" i="30"/>
  <c r="H219" i="30"/>
  <c r="G219" i="30"/>
  <c r="A219" i="30"/>
  <c r="H218" i="30"/>
  <c r="G218" i="30"/>
  <c r="A218" i="30"/>
  <c r="H217" i="30"/>
  <c r="G217" i="30"/>
  <c r="A217" i="30"/>
  <c r="H216" i="30"/>
  <c r="G216" i="30"/>
  <c r="A216" i="30"/>
  <c r="H215" i="30"/>
  <c r="G215" i="30"/>
  <c r="A215" i="30"/>
  <c r="H214" i="30"/>
  <c r="G214" i="30"/>
  <c r="A214" i="30"/>
  <c r="H213" i="30"/>
  <c r="G213" i="30"/>
  <c r="A213" i="30"/>
  <c r="H212" i="30"/>
  <c r="G212" i="30"/>
  <c r="H211" i="30"/>
  <c r="G211" i="30"/>
  <c r="H210" i="30"/>
  <c r="G210" i="30"/>
  <c r="A210" i="30"/>
  <c r="H209" i="30"/>
  <c r="G209" i="30"/>
  <c r="A209" i="30"/>
  <c r="H208" i="30"/>
  <c r="G208" i="30"/>
  <c r="H207" i="30"/>
  <c r="G207" i="30"/>
  <c r="A207" i="30"/>
  <c r="H206" i="30"/>
  <c r="G206" i="30"/>
  <c r="H205" i="30"/>
  <c r="G205" i="30"/>
  <c r="A205" i="30"/>
  <c r="H204" i="30"/>
  <c r="G204" i="30"/>
  <c r="A204" i="30"/>
  <c r="H203" i="30"/>
  <c r="G203" i="30"/>
  <c r="A203" i="30"/>
  <c r="H202" i="30"/>
  <c r="G202" i="30"/>
  <c r="H201" i="30"/>
  <c r="G201" i="30"/>
  <c r="A201" i="30"/>
  <c r="H200" i="30"/>
  <c r="G200" i="30"/>
  <c r="A200" i="30"/>
  <c r="H199" i="30"/>
  <c r="G199" i="30"/>
  <c r="A199" i="30"/>
  <c r="H198" i="30"/>
  <c r="G198" i="30"/>
  <c r="A198" i="30"/>
  <c r="H197" i="30"/>
  <c r="G197" i="30"/>
  <c r="A197" i="30"/>
  <c r="H196" i="30"/>
  <c r="G196" i="30"/>
  <c r="A196" i="30"/>
  <c r="H195" i="30"/>
  <c r="G195" i="30"/>
  <c r="H194" i="30"/>
  <c r="G194" i="30"/>
  <c r="A194" i="30"/>
  <c r="H193" i="30"/>
  <c r="G193" i="30"/>
  <c r="A193" i="30"/>
  <c r="H192" i="30"/>
  <c r="G192" i="30"/>
  <c r="A192" i="30"/>
  <c r="H191" i="30"/>
  <c r="G191" i="30"/>
  <c r="H190" i="30"/>
  <c r="G190" i="30"/>
  <c r="A190" i="30"/>
  <c r="H189" i="30"/>
  <c r="G189" i="30"/>
  <c r="A189" i="30"/>
  <c r="H188" i="30"/>
  <c r="G188" i="30"/>
  <c r="A188" i="30"/>
  <c r="H187" i="30"/>
  <c r="G187" i="30"/>
  <c r="A187" i="30"/>
  <c r="H186" i="30"/>
  <c r="G186" i="30"/>
  <c r="A186" i="30"/>
  <c r="H185" i="30"/>
  <c r="G185" i="30"/>
  <c r="A185" i="30"/>
  <c r="H184" i="30"/>
  <c r="G184" i="30"/>
  <c r="A184" i="30"/>
  <c r="H183" i="30"/>
  <c r="G183" i="30"/>
  <c r="H182" i="30"/>
  <c r="G182" i="30"/>
  <c r="A182" i="30"/>
  <c r="H181" i="30"/>
  <c r="G181" i="30"/>
  <c r="H180" i="30"/>
  <c r="G180" i="30"/>
  <c r="A180" i="30"/>
  <c r="H179" i="30"/>
  <c r="G179" i="30"/>
  <c r="A179" i="30"/>
  <c r="H178" i="30"/>
  <c r="G178" i="30"/>
  <c r="A178" i="30"/>
  <c r="H177" i="30"/>
  <c r="G177" i="30"/>
  <c r="A177" i="30"/>
  <c r="H176" i="30"/>
  <c r="G176" i="30"/>
  <c r="A176" i="30"/>
  <c r="H175" i="30"/>
  <c r="G175" i="30"/>
  <c r="A175" i="30"/>
  <c r="H174" i="30"/>
  <c r="G174" i="30"/>
  <c r="A174" i="30"/>
  <c r="H173" i="30"/>
  <c r="G173" i="30"/>
  <c r="A173" i="30"/>
  <c r="H172" i="30"/>
  <c r="G172" i="30"/>
  <c r="A172" i="30"/>
  <c r="H171" i="30"/>
  <c r="G171" i="30"/>
  <c r="A171" i="30"/>
  <c r="H170" i="30"/>
  <c r="G170" i="30"/>
  <c r="A170" i="30"/>
  <c r="H169" i="30"/>
  <c r="G169" i="30"/>
  <c r="A169" i="30"/>
  <c r="H168" i="30"/>
  <c r="G168" i="30"/>
  <c r="A168" i="30"/>
  <c r="H167" i="30"/>
  <c r="G167" i="30"/>
  <c r="A167" i="30"/>
  <c r="H166" i="30"/>
  <c r="G166" i="30"/>
  <c r="A166" i="30"/>
  <c r="H165" i="30"/>
  <c r="G165" i="30"/>
  <c r="A165" i="30"/>
  <c r="H164" i="30"/>
  <c r="G164" i="30"/>
  <c r="A164" i="30"/>
  <c r="H163" i="30"/>
  <c r="G163" i="30"/>
  <c r="H162" i="30"/>
  <c r="G162" i="30"/>
  <c r="A162" i="30"/>
  <c r="H161" i="30"/>
  <c r="G161" i="30"/>
  <c r="A161" i="30"/>
  <c r="H160" i="30"/>
  <c r="G160" i="30"/>
  <c r="A160" i="30"/>
  <c r="H159" i="30"/>
  <c r="G159" i="30"/>
  <c r="A159" i="30"/>
  <c r="H158" i="30"/>
  <c r="G158" i="30"/>
  <c r="A158" i="30"/>
  <c r="H157" i="30"/>
  <c r="G157" i="30"/>
  <c r="A157" i="30"/>
  <c r="H156" i="30"/>
  <c r="G156" i="30"/>
  <c r="A156" i="30"/>
  <c r="H155" i="30"/>
  <c r="G155" i="30"/>
  <c r="A155" i="30"/>
  <c r="H154" i="30"/>
  <c r="G154" i="30"/>
  <c r="A154" i="30"/>
  <c r="H153" i="30"/>
  <c r="G153" i="30"/>
  <c r="A153" i="30"/>
  <c r="H152" i="30"/>
  <c r="G152" i="30"/>
  <c r="A152" i="30"/>
  <c r="H151" i="30"/>
  <c r="G151" i="30"/>
  <c r="H150" i="30"/>
  <c r="G150" i="30"/>
  <c r="A150" i="30"/>
  <c r="H149" i="30"/>
  <c r="G149" i="30"/>
  <c r="A149" i="30"/>
  <c r="H148" i="30"/>
  <c r="G148" i="30"/>
  <c r="A148" i="30"/>
  <c r="H147" i="30"/>
  <c r="G147" i="30"/>
  <c r="H146" i="30"/>
  <c r="G146" i="30"/>
  <c r="A146" i="30"/>
  <c r="H145" i="30"/>
  <c r="G145" i="30"/>
  <c r="A145" i="30"/>
  <c r="H144" i="30"/>
  <c r="G144" i="30"/>
  <c r="A144" i="30"/>
  <c r="H143" i="30"/>
  <c r="G143" i="30"/>
  <c r="H142" i="30"/>
  <c r="G142" i="30"/>
  <c r="A142" i="30"/>
  <c r="H141" i="30"/>
  <c r="G141" i="30"/>
  <c r="A141" i="30"/>
  <c r="H140" i="30"/>
  <c r="G140" i="30"/>
  <c r="H139" i="30"/>
  <c r="G139" i="30"/>
  <c r="H138" i="30"/>
  <c r="G138" i="30"/>
  <c r="A138" i="30"/>
  <c r="H137" i="30"/>
  <c r="G137" i="30"/>
  <c r="A137" i="30"/>
  <c r="H136" i="30"/>
  <c r="G136" i="30"/>
  <c r="A136" i="30"/>
  <c r="H135" i="30"/>
  <c r="G135" i="30"/>
  <c r="A135" i="30"/>
  <c r="H134" i="30"/>
  <c r="G134" i="30"/>
  <c r="A134" i="30"/>
  <c r="H133" i="30"/>
  <c r="G133" i="30"/>
  <c r="A133" i="30"/>
  <c r="H132" i="30"/>
  <c r="G132" i="30"/>
  <c r="A132" i="30"/>
  <c r="H131" i="30"/>
  <c r="G131" i="30"/>
  <c r="A131" i="30"/>
  <c r="H130" i="30"/>
  <c r="G130" i="30"/>
  <c r="H129" i="30"/>
  <c r="G129" i="30"/>
  <c r="A129" i="30"/>
  <c r="H128" i="30"/>
  <c r="G128" i="30"/>
  <c r="A128" i="30"/>
  <c r="H127" i="30"/>
  <c r="G127" i="30"/>
  <c r="A127" i="30"/>
  <c r="H126" i="30"/>
  <c r="G126" i="30"/>
  <c r="A126" i="30"/>
  <c r="H125" i="30"/>
  <c r="G125" i="30"/>
  <c r="A125" i="30"/>
  <c r="H124" i="30"/>
  <c r="G124" i="30"/>
  <c r="A124" i="30"/>
  <c r="H123" i="30"/>
  <c r="G123" i="30"/>
  <c r="A123" i="30"/>
  <c r="H122" i="30"/>
  <c r="G122" i="30"/>
  <c r="A122" i="30"/>
  <c r="H121" i="30"/>
  <c r="G121" i="30"/>
  <c r="A121" i="30"/>
  <c r="H120" i="30"/>
  <c r="G120" i="30"/>
  <c r="A120" i="30"/>
  <c r="H119" i="30"/>
  <c r="G119" i="30"/>
  <c r="A119" i="30"/>
  <c r="H118" i="30"/>
  <c r="G118" i="30"/>
  <c r="A118" i="30"/>
  <c r="H117" i="30"/>
  <c r="G117" i="30"/>
  <c r="A117" i="30"/>
  <c r="H116" i="30"/>
  <c r="G116" i="30"/>
  <c r="H115" i="30"/>
  <c r="G115" i="30"/>
  <c r="A115" i="30"/>
  <c r="H114" i="30"/>
  <c r="G114" i="30"/>
  <c r="A114" i="30"/>
  <c r="H113" i="30"/>
  <c r="G113" i="30"/>
  <c r="A113" i="30"/>
  <c r="H112" i="30"/>
  <c r="G112" i="30"/>
  <c r="A112" i="30"/>
  <c r="H111" i="30"/>
  <c r="G111" i="30"/>
  <c r="A111" i="30"/>
  <c r="H110" i="30"/>
  <c r="G110" i="30"/>
  <c r="A110" i="30"/>
  <c r="H109" i="30"/>
  <c r="G109" i="30"/>
  <c r="A109" i="30"/>
  <c r="H108" i="30"/>
  <c r="G108" i="30"/>
  <c r="A108" i="30"/>
  <c r="H107" i="30"/>
  <c r="G107" i="30"/>
  <c r="A107" i="30"/>
  <c r="H106" i="30"/>
  <c r="G106" i="30"/>
  <c r="A106" i="30"/>
  <c r="H105" i="30"/>
  <c r="G105" i="30"/>
  <c r="A105" i="30"/>
  <c r="H104" i="30"/>
  <c r="G104" i="30"/>
  <c r="A104" i="30"/>
  <c r="H103" i="30"/>
  <c r="G103" i="30"/>
  <c r="A103" i="30"/>
  <c r="H102" i="30"/>
  <c r="G102" i="30"/>
  <c r="H101" i="30"/>
  <c r="G101" i="30"/>
  <c r="H100" i="30"/>
  <c r="G100" i="30"/>
  <c r="A100" i="30"/>
  <c r="H99" i="30"/>
  <c r="G99" i="30"/>
  <c r="A99" i="30"/>
  <c r="H98" i="30"/>
  <c r="G98" i="30"/>
  <c r="A98" i="30"/>
  <c r="H97" i="30"/>
  <c r="G97" i="30"/>
  <c r="A97" i="30"/>
  <c r="H96" i="30"/>
  <c r="G96" i="30"/>
  <c r="A96" i="30"/>
  <c r="H95" i="30"/>
  <c r="G95" i="30"/>
  <c r="A95" i="30"/>
  <c r="H94" i="30"/>
  <c r="G94" i="30"/>
  <c r="H93" i="30"/>
  <c r="G93" i="30"/>
  <c r="A93" i="30"/>
  <c r="H92" i="30"/>
  <c r="G92" i="30"/>
  <c r="A92" i="30"/>
  <c r="H91" i="30"/>
  <c r="G91" i="30"/>
  <c r="A91" i="30"/>
  <c r="H90" i="30"/>
  <c r="G90" i="30"/>
  <c r="A90" i="30"/>
  <c r="H89" i="30"/>
  <c r="G89" i="30"/>
  <c r="A89" i="30"/>
  <c r="H88" i="30"/>
  <c r="G88" i="30"/>
  <c r="A88" i="30"/>
  <c r="H87" i="30"/>
  <c r="G87" i="30"/>
  <c r="A87" i="30"/>
  <c r="H86" i="30"/>
  <c r="G86" i="30"/>
  <c r="A86" i="30"/>
  <c r="H85" i="30"/>
  <c r="G85" i="30"/>
  <c r="H84" i="30"/>
  <c r="G84" i="30"/>
  <c r="A84" i="30"/>
  <c r="H83" i="30"/>
  <c r="G83" i="30"/>
  <c r="A83" i="30"/>
  <c r="H82" i="30"/>
  <c r="G82" i="30"/>
  <c r="A82" i="30"/>
  <c r="H81" i="30"/>
  <c r="G81" i="30"/>
  <c r="A81" i="30"/>
  <c r="H80" i="30"/>
  <c r="G80" i="30"/>
  <c r="A80" i="30"/>
  <c r="H79" i="30"/>
  <c r="G79" i="30"/>
  <c r="H78" i="30"/>
  <c r="G78" i="30"/>
  <c r="H77" i="30"/>
  <c r="G77" i="30"/>
  <c r="H76" i="30"/>
  <c r="G76" i="30"/>
  <c r="H75" i="30"/>
  <c r="G75" i="30"/>
  <c r="A75" i="30"/>
  <c r="H74" i="30"/>
  <c r="G74" i="30"/>
  <c r="A74" i="30"/>
  <c r="H73" i="30"/>
  <c r="G73" i="30"/>
  <c r="A73" i="30"/>
  <c r="H72" i="30"/>
  <c r="G72" i="30"/>
  <c r="H71" i="30"/>
  <c r="G71" i="30"/>
  <c r="H70" i="30"/>
  <c r="G70" i="30"/>
  <c r="A70" i="30"/>
  <c r="H69" i="30"/>
  <c r="G69" i="30"/>
  <c r="A69" i="30"/>
  <c r="H68" i="30"/>
  <c r="G68" i="30"/>
  <c r="A68" i="30"/>
  <c r="H67" i="30"/>
  <c r="G67" i="30"/>
  <c r="A67" i="30"/>
  <c r="H66" i="30"/>
  <c r="G66" i="30"/>
  <c r="A66" i="30"/>
  <c r="H65" i="30"/>
  <c r="G65" i="30"/>
  <c r="A65" i="30"/>
  <c r="H64" i="30"/>
  <c r="G64" i="30"/>
  <c r="A64" i="30"/>
  <c r="H63" i="30"/>
  <c r="G63" i="30"/>
  <c r="A63" i="30"/>
  <c r="H62" i="30"/>
  <c r="G62" i="30"/>
  <c r="A62" i="30"/>
  <c r="H61" i="30"/>
  <c r="G61" i="30"/>
  <c r="A61" i="30"/>
  <c r="H60" i="30"/>
  <c r="G60" i="30"/>
  <c r="A60" i="30"/>
  <c r="H59" i="30"/>
  <c r="G59" i="30"/>
  <c r="H58" i="30"/>
  <c r="G58" i="30"/>
  <c r="H57" i="30"/>
  <c r="G57" i="30"/>
  <c r="H56" i="30"/>
  <c r="G56" i="30"/>
  <c r="A56" i="30"/>
  <c r="H55" i="30"/>
  <c r="G55" i="30"/>
  <c r="A55" i="30"/>
  <c r="H54" i="30"/>
  <c r="G54" i="30"/>
  <c r="A54" i="30"/>
  <c r="H53" i="30"/>
  <c r="G53" i="30"/>
  <c r="A53" i="30"/>
  <c r="H52" i="30"/>
  <c r="G52" i="30"/>
  <c r="H51" i="30"/>
  <c r="G51" i="30"/>
  <c r="A51" i="30"/>
  <c r="H50" i="30"/>
  <c r="G50" i="30"/>
  <c r="A50" i="30"/>
  <c r="H49" i="30"/>
  <c r="G49" i="30"/>
  <c r="H48" i="30"/>
  <c r="G48" i="30"/>
  <c r="A48" i="30"/>
  <c r="H47" i="30"/>
  <c r="G47" i="30"/>
  <c r="A47" i="30"/>
  <c r="H46" i="30"/>
  <c r="G46" i="30"/>
  <c r="A46" i="30"/>
  <c r="H45" i="30"/>
  <c r="G45" i="30"/>
  <c r="A45" i="30"/>
  <c r="H44" i="30"/>
  <c r="G44" i="30"/>
  <c r="A44" i="30"/>
  <c r="H43" i="30"/>
  <c r="G43" i="30"/>
  <c r="A43" i="30"/>
  <c r="H42" i="30"/>
  <c r="G42" i="30"/>
  <c r="A42" i="30"/>
  <c r="H41" i="30"/>
  <c r="G41" i="30"/>
  <c r="A41" i="30"/>
  <c r="H40" i="30"/>
  <c r="G40" i="30"/>
  <c r="A40" i="30"/>
  <c r="H39" i="30"/>
  <c r="G39" i="30"/>
  <c r="A39" i="30"/>
  <c r="H38" i="30"/>
  <c r="G38" i="30"/>
  <c r="A38" i="30"/>
  <c r="H37" i="30"/>
  <c r="G37" i="30"/>
  <c r="H36" i="30"/>
  <c r="G36" i="30"/>
  <c r="A36" i="30"/>
  <c r="H35" i="30"/>
  <c r="G35" i="30"/>
  <c r="A35" i="30"/>
  <c r="H34" i="30"/>
  <c r="G34" i="30"/>
  <c r="A34" i="30"/>
  <c r="H33" i="30"/>
  <c r="G33" i="30"/>
  <c r="H32" i="30"/>
  <c r="G32" i="30"/>
  <c r="H31" i="30"/>
  <c r="G31" i="30"/>
  <c r="A31" i="30"/>
  <c r="H30" i="30"/>
  <c r="G30" i="30"/>
  <c r="H29" i="30"/>
  <c r="G29" i="30"/>
  <c r="A29" i="30"/>
  <c r="H28" i="30"/>
  <c r="G28" i="30"/>
  <c r="H27" i="30"/>
  <c r="G27" i="30"/>
  <c r="H26" i="30"/>
  <c r="G26" i="30"/>
  <c r="H25" i="30"/>
  <c r="G25" i="30"/>
  <c r="H24" i="30"/>
  <c r="G24" i="30"/>
  <c r="H23" i="30"/>
  <c r="G23" i="30"/>
  <c r="H22" i="30"/>
  <c r="G22" i="30"/>
  <c r="H21" i="30"/>
  <c r="G21" i="30"/>
  <c r="H20" i="30"/>
  <c r="G20" i="30"/>
  <c r="A20" i="30"/>
  <c r="H19" i="30"/>
  <c r="G19" i="30"/>
  <c r="A19" i="30"/>
  <c r="H18" i="30"/>
  <c r="G18" i="30"/>
  <c r="A18" i="30"/>
  <c r="H17" i="30"/>
  <c r="G17" i="30"/>
  <c r="H16" i="30"/>
  <c r="G16" i="30"/>
  <c r="H15" i="30"/>
  <c r="G15" i="30"/>
  <c r="H14" i="30"/>
  <c r="G14" i="30"/>
  <c r="H13" i="30"/>
  <c r="G13" i="30"/>
  <c r="H12" i="30"/>
  <c r="G12" i="30"/>
  <c r="H11" i="30"/>
  <c r="G11" i="30"/>
  <c r="A11" i="30"/>
  <c r="H10" i="30"/>
  <c r="G10" i="30"/>
  <c r="H9" i="30"/>
  <c r="G9" i="30"/>
  <c r="H8" i="30"/>
  <c r="G8" i="30"/>
  <c r="A8" i="30"/>
  <c r="H7" i="30"/>
  <c r="G7" i="30"/>
  <c r="H6" i="30"/>
  <c r="G6" i="30"/>
  <c r="H5" i="30"/>
  <c r="G5" i="30"/>
  <c r="H4" i="30"/>
  <c r="G4" i="30"/>
  <c r="H3" i="30"/>
  <c r="G3" i="30"/>
  <c r="A3" i="30"/>
  <c r="H2" i="30"/>
  <c r="G2" i="30"/>
  <c r="A1" i="30"/>
  <c r="A392" i="30"/>
  <c r="A402" i="30"/>
  <c r="A382" i="30"/>
  <c r="A456" i="30"/>
  <c r="A151" i="30"/>
  <c r="A312" i="30"/>
  <c r="A17" i="30"/>
  <c r="A399" i="30"/>
  <c r="A206" i="30"/>
  <c r="A455" i="30"/>
  <c r="A463" i="30"/>
  <c r="A432" i="30"/>
  <c r="A406" i="30"/>
  <c r="A23" i="30"/>
  <c r="A359" i="30"/>
  <c r="A296" i="30"/>
  <c r="A6" i="30"/>
  <c r="A311" i="30"/>
  <c r="A30" i="30"/>
  <c r="A7" i="30"/>
  <c r="A22" i="30"/>
  <c r="A407" i="30"/>
  <c r="A183" i="30"/>
  <c r="A448" i="30"/>
  <c r="A32" i="30"/>
  <c r="A375" i="30"/>
  <c r="A102" i="30"/>
  <c r="A222" i="30"/>
  <c r="A94" i="30"/>
  <c r="A143" i="30"/>
  <c r="A351" i="30"/>
  <c r="A352" i="30"/>
  <c r="A464" i="30"/>
  <c r="A360" i="30"/>
  <c r="A438" i="30"/>
  <c r="A9" i="30"/>
  <c r="A78" i="30"/>
  <c r="A24" i="30"/>
  <c r="A415" i="30"/>
  <c r="A303" i="30"/>
  <c r="A416" i="30"/>
  <c r="A72" i="30"/>
  <c r="A374" i="30"/>
  <c r="A383" i="30"/>
  <c r="A342" i="30"/>
  <c r="A390" i="30"/>
  <c r="A71" i="30"/>
  <c r="A208" i="30"/>
  <c r="A223" i="30"/>
  <c r="A398" i="30"/>
  <c r="A358" i="30"/>
  <c r="A366" i="30"/>
  <c r="A15" i="30"/>
  <c r="A79" i="30"/>
  <c r="A376" i="30"/>
  <c r="A279" i="30"/>
  <c r="A454" i="30"/>
  <c r="A400" i="30"/>
  <c r="A14" i="30"/>
  <c r="A191" i="30"/>
  <c r="A16" i="30"/>
  <c r="A391" i="30"/>
  <c r="A304" i="30"/>
  <c r="A414" i="30"/>
  <c r="B80" i="38" l="1"/>
  <c r="B58" i="16"/>
  <c r="A41" i="16"/>
  <c r="C31" i="16"/>
  <c r="E16" i="38"/>
  <c r="F15" i="38" s="1"/>
  <c r="C14" i="38"/>
  <c r="B43" i="38" s="1"/>
  <c r="A76" i="30"/>
  <c r="A212" i="30"/>
  <c r="A347" i="30"/>
  <c r="A28" i="30"/>
  <c r="A27" i="30"/>
  <c r="A371" i="30"/>
  <c r="A147" i="30"/>
  <c r="A412" i="30"/>
  <c r="A2" i="30"/>
  <c r="A467" i="30"/>
  <c r="A13" i="30"/>
  <c r="A12" i="30"/>
  <c r="A361" i="30"/>
  <c r="A234" i="30"/>
  <c r="A356" i="30"/>
  <c r="A354" i="30"/>
  <c r="A365" i="30"/>
  <c r="A377" i="30"/>
  <c r="A461" i="30"/>
  <c r="A236" i="30"/>
  <c r="A451" i="30"/>
  <c r="A57" i="30"/>
  <c r="A465" i="30"/>
  <c r="A417" i="30"/>
  <c r="A25" i="30"/>
  <c r="A460" i="30"/>
  <c r="A405" i="30"/>
  <c r="A292" i="30"/>
  <c r="A37" i="30"/>
  <c r="A363" i="30"/>
  <c r="A373" i="30"/>
  <c r="A355" i="30"/>
  <c r="A401" i="30"/>
  <c r="A433" i="30"/>
  <c r="A396" i="30"/>
  <c r="A261" i="30"/>
  <c r="A49" i="30"/>
  <c r="A265" i="30"/>
  <c r="A466" i="30"/>
  <c r="A469" i="30"/>
  <c r="A388" i="30"/>
  <c r="A435" i="30"/>
  <c r="A211" i="30"/>
  <c r="A364" i="30"/>
  <c r="A59" i="30"/>
  <c r="A202" i="30"/>
  <c r="A379" i="30"/>
  <c r="A362" i="30"/>
  <c r="A309" i="30"/>
  <c r="A26" i="30"/>
  <c r="A33" i="30"/>
  <c r="A421" i="30"/>
  <c r="A369" i="30"/>
  <c r="A140" i="30"/>
  <c r="A5" i="30"/>
  <c r="A378" i="30"/>
  <c r="A357" i="30"/>
  <c r="A116" i="30"/>
  <c r="A195" i="30"/>
  <c r="A450" i="30"/>
  <c r="A452" i="30"/>
  <c r="A381" i="30"/>
  <c r="A52" i="30"/>
  <c r="A427" i="30"/>
  <c r="A372" i="30"/>
  <c r="A307" i="30"/>
  <c r="A436" i="30"/>
  <c r="A428" i="30"/>
  <c r="A453" i="30"/>
  <c r="A181" i="30"/>
  <c r="A163" i="30"/>
  <c r="A85" i="30"/>
  <c r="A299" i="30"/>
  <c r="A4" i="30"/>
  <c r="A10" i="30"/>
  <c r="A410" i="30"/>
  <c r="A233" i="30"/>
  <c r="A411" i="30"/>
  <c r="A21" i="30"/>
  <c r="A459" i="30"/>
  <c r="A413" i="30"/>
  <c r="A437" i="30"/>
  <c r="A419" i="30"/>
  <c r="A268" i="30"/>
  <c r="A449" i="30"/>
  <c r="A434" i="30"/>
  <c r="A77" i="30"/>
  <c r="A259" i="30"/>
  <c r="A380" i="30"/>
  <c r="A130" i="30"/>
  <c r="A386" i="30"/>
  <c r="A101" i="30"/>
  <c r="A387" i="30"/>
  <c r="A385" i="30"/>
  <c r="A58" i="30"/>
  <c r="A429" i="30"/>
  <c r="A349" i="30"/>
  <c r="A257" i="30"/>
  <c r="A139" i="30"/>
  <c r="A370" i="30"/>
  <c r="A353" i="30"/>
  <c r="G15" i="38" l="1"/>
  <c r="E18" i="16"/>
  <c r="E17" i="16"/>
  <c r="C58" i="16"/>
  <c r="D58" i="16" s="1"/>
  <c r="E58" i="16" s="1"/>
  <c r="F58" i="16" s="1"/>
  <c r="G58" i="16" s="1"/>
  <c r="H58" i="16" s="1"/>
  <c r="I58" i="16" s="1"/>
  <c r="J58" i="16" s="1"/>
  <c r="K58" i="16" s="1"/>
  <c r="C80" i="38"/>
  <c r="D80" i="38" s="1"/>
  <c r="E80" i="38" s="1"/>
  <c r="F80" i="38" s="1"/>
  <c r="G80" i="38" s="1"/>
  <c r="H80" i="38" s="1"/>
  <c r="I80" i="38" s="1"/>
  <c r="J80" i="38" s="1"/>
  <c r="K80" i="38" s="1"/>
  <c r="B88" i="38"/>
  <c r="C7" i="19"/>
  <c r="D4" i="19"/>
  <c r="E4" i="19"/>
  <c r="F4" i="19"/>
  <c r="G4" i="19"/>
  <c r="H4" i="19"/>
  <c r="I4" i="19"/>
  <c r="J4" i="19"/>
  <c r="K4" i="19"/>
  <c r="L4" i="19"/>
  <c r="C4" i="19"/>
  <c r="B18" i="38"/>
  <c r="E14" i="38"/>
  <c r="E39" i="38" s="1"/>
  <c r="C43" i="38"/>
  <c r="B14" i="38"/>
  <c r="F43" i="38" l="1"/>
  <c r="C39" i="38"/>
  <c r="E43" i="38"/>
  <c r="D43" i="38"/>
  <c r="B94" i="38"/>
  <c r="B87" i="38"/>
  <c r="C87" i="38" s="1"/>
  <c r="D87" i="38" s="1"/>
  <c r="E87" i="38" s="1"/>
  <c r="F87" i="38" s="1"/>
  <c r="G87" i="38" s="1"/>
  <c r="H87" i="38" s="1"/>
  <c r="I87" i="38" s="1"/>
  <c r="J87" i="38" s="1"/>
  <c r="K87" i="38" s="1"/>
  <c r="B20" i="16" l="1"/>
  <c r="C94" i="38"/>
  <c r="C20" i="16" l="1"/>
  <c r="D94" i="38"/>
  <c r="D20" i="16" s="1"/>
  <c r="E94" i="38" l="1"/>
  <c r="E20" i="16" s="1"/>
  <c r="D10" i="31"/>
  <c r="A29" i="38" l="1" a="1"/>
  <c r="A29" i="38" s="1"/>
  <c r="C30" i="38" a="1"/>
  <c r="C30" i="38" s="1"/>
  <c r="B30" i="38" a="1"/>
  <c r="B30" i="38" s="1"/>
  <c r="F94" i="38"/>
  <c r="F20" i="16" s="1"/>
  <c r="K6" i="31"/>
  <c r="B31" i="3"/>
  <c r="C36" i="3"/>
  <c r="C38" i="3"/>
  <c r="B47" i="16"/>
  <c r="C31" i="3"/>
  <c r="D17" i="3"/>
  <c r="E17" i="3" s="1"/>
  <c r="C36" i="16" s="1"/>
  <c r="B80" i="15"/>
  <c r="G80" i="15" s="1"/>
  <c r="B79" i="15"/>
  <c r="B78" i="15"/>
  <c r="G78" i="15" s="1"/>
  <c r="B77" i="15"/>
  <c r="B76" i="15"/>
  <c r="D76" i="15" s="1"/>
  <c r="B75" i="15"/>
  <c r="G75" i="15" s="1"/>
  <c r="B74" i="15"/>
  <c r="G74" i="15" s="1"/>
  <c r="B73" i="15"/>
  <c r="G73" i="15" s="1"/>
  <c r="B72" i="15"/>
  <c r="G72" i="15" s="1"/>
  <c r="B71" i="15"/>
  <c r="D71" i="15" s="1"/>
  <c r="B70" i="15"/>
  <c r="G70" i="15" s="1"/>
  <c r="B69" i="15"/>
  <c r="D69" i="15" s="1"/>
  <c r="B68" i="15"/>
  <c r="G68" i="15" s="1"/>
  <c r="G40" i="34"/>
  <c r="F40" i="34"/>
  <c r="G35" i="34"/>
  <c r="F35" i="34"/>
  <c r="A46" i="34"/>
  <c r="C41" i="34"/>
  <c r="B38" i="3"/>
  <c r="C13" i="15"/>
  <c r="F13" i="15"/>
  <c r="B13" i="15"/>
  <c r="K4" i="31"/>
  <c r="I1" i="32"/>
  <c r="J1" i="32"/>
  <c r="K1" i="32"/>
  <c r="L1" i="32"/>
  <c r="M1" i="32"/>
  <c r="H1" i="32"/>
  <c r="G1" i="32"/>
  <c r="F1" i="32"/>
  <c r="E1" i="32"/>
  <c r="D1" i="32"/>
  <c r="E31" i="16"/>
  <c r="B31" i="16"/>
  <c r="R34" i="23"/>
  <c r="R33" i="23"/>
  <c r="R32" i="23"/>
  <c r="R15" i="23"/>
  <c r="R14" i="23"/>
  <c r="R11" i="23"/>
  <c r="R13" i="23"/>
  <c r="N17" i="23" s="1"/>
  <c r="R12" i="23"/>
  <c r="O17" i="23" s="1"/>
  <c r="K8" i="31"/>
  <c r="G76" i="15" l="1"/>
  <c r="E76" i="15"/>
  <c r="C71" i="15"/>
  <c r="C68" i="15"/>
  <c r="G94" i="38"/>
  <c r="G20" i="16" s="1"/>
  <c r="D41" i="34"/>
  <c r="D68" i="15"/>
  <c r="F76" i="15"/>
  <c r="E69" i="15"/>
  <c r="P17" i="23"/>
  <c r="E21" i="23" s="1"/>
  <c r="F69" i="15"/>
  <c r="G69" i="15"/>
  <c r="C68" i="16"/>
  <c r="C17" i="3"/>
  <c r="B39" i="16" s="1"/>
  <c r="E20" i="23"/>
  <c r="R30" i="23"/>
  <c r="O36" i="23" s="1"/>
  <c r="E31" i="23" s="1"/>
  <c r="E19" i="23"/>
  <c r="R29" i="23"/>
  <c r="N36" i="23" s="1"/>
  <c r="E30" i="23" s="1"/>
  <c r="B68" i="16"/>
  <c r="B20" i="15"/>
  <c r="E68" i="15"/>
  <c r="D75" i="15"/>
  <c r="C70" i="15"/>
  <c r="C80" i="15"/>
  <c r="D70" i="15"/>
  <c r="C72" i="15"/>
  <c r="C74" i="15"/>
  <c r="C78" i="15"/>
  <c r="D80" i="15"/>
  <c r="C69" i="15"/>
  <c r="E70" i="15"/>
  <c r="D72" i="15"/>
  <c r="D74" i="15"/>
  <c r="C76" i="15"/>
  <c r="D78" i="15"/>
  <c r="E80" i="15"/>
  <c r="K7" i="31"/>
  <c r="F70" i="15"/>
  <c r="E72" i="15"/>
  <c r="E74" i="15"/>
  <c r="E78" i="15"/>
  <c r="F80" i="15"/>
  <c r="K9" i="31"/>
  <c r="F72" i="15"/>
  <c r="F74" i="15"/>
  <c r="F78" i="15"/>
  <c r="B77" i="16" l="1"/>
  <c r="B78" i="16" s="1"/>
  <c r="B17" i="15" s="1"/>
  <c r="H94" i="38"/>
  <c r="H20" i="16" s="1"/>
  <c r="R31" i="23"/>
  <c r="P36" i="23" s="1"/>
  <c r="E32" i="23" s="1"/>
  <c r="K10" i="31"/>
  <c r="K11" i="31" s="1"/>
  <c r="B25" i="15"/>
  <c r="C20" i="15"/>
  <c r="D11" i="31"/>
  <c r="I94" i="38" l="1"/>
  <c r="I20" i="16" s="1"/>
  <c r="B88" i="31"/>
  <c r="B57" i="31"/>
  <c r="B51" i="31"/>
  <c r="B63" i="31"/>
  <c r="B82" i="31"/>
  <c r="B87" i="31"/>
  <c r="B85" i="31"/>
  <c r="B78" i="31"/>
  <c r="B86" i="31"/>
  <c r="B45" i="31"/>
  <c r="B66" i="31"/>
  <c r="B69" i="31"/>
  <c r="B47" i="31"/>
  <c r="B77" i="31"/>
  <c r="D12" i="31"/>
  <c r="B96" i="31"/>
  <c r="B65" i="31"/>
  <c r="B59" i="31"/>
  <c r="B90" i="31"/>
  <c r="B71" i="31"/>
  <c r="B93" i="31"/>
  <c r="B55" i="31"/>
  <c r="B41" i="31"/>
  <c r="B76" i="31"/>
  <c r="B40" i="31"/>
  <c r="B39" i="31"/>
  <c r="B73" i="31"/>
  <c r="B75" i="31"/>
  <c r="B34" i="31"/>
  <c r="B98" i="31"/>
  <c r="B37" i="31"/>
  <c r="B94" i="31"/>
  <c r="B43" i="31"/>
  <c r="B38" i="31"/>
  <c r="B62" i="31"/>
  <c r="B80" i="31"/>
  <c r="B35" i="31"/>
  <c r="B84" i="31"/>
  <c r="B70" i="31"/>
  <c r="B48" i="31"/>
  <c r="B79" i="31"/>
  <c r="B81" i="31"/>
  <c r="B83" i="31"/>
  <c r="B42" i="31"/>
  <c r="B36" i="31"/>
  <c r="B92" i="31"/>
  <c r="B56" i="31"/>
  <c r="B89" i="31"/>
  <c r="B99" i="31"/>
  <c r="B50" i="31"/>
  <c r="B67" i="31"/>
  <c r="B44" i="31"/>
  <c r="B53" i="31"/>
  <c r="B46" i="31"/>
  <c r="B95" i="31"/>
  <c r="B61" i="31"/>
  <c r="B54" i="31"/>
  <c r="B64" i="31"/>
  <c r="B33" i="31"/>
  <c r="B97" i="31"/>
  <c r="B68" i="31"/>
  <c r="B58" i="31"/>
  <c r="B91" i="31"/>
  <c r="B52" i="31"/>
  <c r="B72" i="31"/>
  <c r="B60" i="31"/>
  <c r="B49" i="31"/>
  <c r="B74" i="31"/>
  <c r="B100" i="31"/>
  <c r="D68" i="16"/>
  <c r="E68" i="16"/>
  <c r="D20" i="15"/>
  <c r="C25" i="15"/>
  <c r="B27" i="31"/>
  <c r="B28" i="31"/>
  <c r="B32" i="31"/>
  <c r="B23" i="31"/>
  <c r="B30" i="31"/>
  <c r="B25" i="31"/>
  <c r="B24" i="31"/>
  <c r="B31" i="31"/>
  <c r="B26" i="31"/>
  <c r="B29" i="31"/>
  <c r="B17" i="31"/>
  <c r="B20" i="31"/>
  <c r="B22" i="31"/>
  <c r="B19" i="31"/>
  <c r="B21" i="31"/>
  <c r="B18" i="31"/>
  <c r="B16" i="31"/>
  <c r="B14" i="31"/>
  <c r="B7" i="31"/>
  <c r="B6" i="31"/>
  <c r="B13" i="31"/>
  <c r="B12" i="31"/>
  <c r="B8" i="31"/>
  <c r="C20" i="34"/>
  <c r="B11" i="31"/>
  <c r="B10" i="31"/>
  <c r="B9" i="31"/>
  <c r="B15" i="31"/>
  <c r="B5" i="31"/>
  <c r="J94" i="38" l="1"/>
  <c r="J20" i="16" s="1"/>
  <c r="E20" i="34"/>
  <c r="F31" i="16" s="1"/>
  <c r="D13" i="31"/>
  <c r="K13" i="31"/>
  <c r="K14" i="31" s="1"/>
  <c r="K15" i="31" s="1"/>
  <c r="F68" i="16"/>
  <c r="D25" i="15"/>
  <c r="E20" i="15"/>
  <c r="F19" i="34"/>
  <c r="K94" i="38" l="1"/>
  <c r="F13" i="31"/>
  <c r="G68" i="16"/>
  <c r="E25" i="15"/>
  <c r="F20" i="15"/>
  <c r="F25" i="15" s="1"/>
  <c r="G19" i="34"/>
  <c r="G14" i="38" l="1"/>
  <c r="F14" i="38"/>
  <c r="K20" i="16"/>
  <c r="F37" i="34"/>
  <c r="F26" i="34"/>
  <c r="G37" i="34"/>
  <c r="G26" i="34"/>
  <c r="H68" i="16"/>
  <c r="G41" i="34" l="1"/>
  <c r="G16" i="38"/>
  <c r="F41" i="34"/>
  <c r="F16" i="38"/>
  <c r="I68" i="16"/>
  <c r="G47" i="34" l="1"/>
  <c r="G17" i="38"/>
  <c r="G36" i="38" s="1"/>
  <c r="F47" i="34"/>
  <c r="F17" i="38"/>
  <c r="F36" i="38" s="1"/>
  <c r="B39" i="34"/>
  <c r="K68" i="16"/>
  <c r="J68" i="16"/>
  <c r="G18" i="38" l="1"/>
  <c r="F18" i="38"/>
  <c r="B72" i="38"/>
  <c r="B18" i="16" s="1"/>
  <c r="B71" i="38"/>
  <c r="B17" i="16" s="1"/>
  <c r="C36" i="38" l="1"/>
  <c r="C72" i="38" s="1"/>
  <c r="B36" i="38"/>
  <c r="C71" i="38" s="1"/>
  <c r="C18" i="16" l="1"/>
  <c r="B13" i="19"/>
  <c r="C16" i="19" s="1"/>
  <c r="C17" i="16"/>
  <c r="B81" i="16" s="1"/>
  <c r="B15" i="15" s="1"/>
  <c r="B12" i="19"/>
  <c r="I27" i="19" s="1"/>
  <c r="I28" i="19" s="1"/>
  <c r="C88" i="38"/>
  <c r="D5" i="19" s="1"/>
  <c r="C5" i="19"/>
  <c r="G37" i="19" l="1"/>
  <c r="G38" i="19" s="1"/>
  <c r="D27" i="19"/>
  <c r="D28" i="19" s="1"/>
  <c r="D37" i="19"/>
  <c r="D38" i="19" s="1"/>
  <c r="L18" i="19"/>
  <c r="L19" i="19" s="1"/>
  <c r="K95" i="38" s="1"/>
  <c r="H27" i="19"/>
  <c r="H28" i="19" s="1"/>
  <c r="G27" i="19"/>
  <c r="G28" i="19" s="1"/>
  <c r="F37" i="19"/>
  <c r="F38" i="19" s="1"/>
  <c r="B33" i="19"/>
  <c r="E37" i="19"/>
  <c r="E38" i="19" s="1"/>
  <c r="G18" i="19"/>
  <c r="G19" i="19" s="1"/>
  <c r="F95" i="38" s="1"/>
  <c r="F18" i="19"/>
  <c r="F19" i="19" s="1"/>
  <c r="E95" i="38" s="1"/>
  <c r="E18" i="19"/>
  <c r="E19" i="19" s="1"/>
  <c r="D95" i="38" s="1"/>
  <c r="F27" i="19"/>
  <c r="F28" i="19" s="1"/>
  <c r="K37" i="19"/>
  <c r="K38" i="19" s="1"/>
  <c r="H37" i="19"/>
  <c r="H38" i="19" s="1"/>
  <c r="K27" i="19"/>
  <c r="K28" i="19" s="1"/>
  <c r="E27" i="19"/>
  <c r="E28" i="19" s="1"/>
  <c r="H18" i="19"/>
  <c r="H19" i="19" s="1"/>
  <c r="G95" i="38" s="1"/>
  <c r="C27" i="19"/>
  <c r="C28" i="19" s="1"/>
  <c r="L27" i="19"/>
  <c r="L28" i="19" s="1"/>
  <c r="J27" i="19"/>
  <c r="J28" i="19" s="1"/>
  <c r="J18" i="19"/>
  <c r="J19" i="19" s="1"/>
  <c r="I95" i="38" s="1"/>
  <c r="I18" i="19"/>
  <c r="I19" i="19" s="1"/>
  <c r="H95" i="38" s="1"/>
  <c r="K18" i="19"/>
  <c r="K19" i="19" s="1"/>
  <c r="J95" i="38" s="1"/>
  <c r="C35" i="19"/>
  <c r="C36" i="19" s="1"/>
  <c r="C25" i="19"/>
  <c r="C26" i="19" s="1"/>
  <c r="C18" i="19"/>
  <c r="C19" i="19" s="1"/>
  <c r="B95" i="38" s="1"/>
  <c r="D18" i="19"/>
  <c r="D19" i="19" s="1"/>
  <c r="C95" i="38" s="1"/>
  <c r="J37" i="19"/>
  <c r="J38" i="19" s="1"/>
  <c r="L37" i="19"/>
  <c r="L38" i="19" s="1"/>
  <c r="C37" i="19"/>
  <c r="C38" i="19" s="1"/>
  <c r="I37" i="19"/>
  <c r="I38" i="19" s="1"/>
  <c r="D88" i="38"/>
  <c r="E88" i="38" s="1"/>
  <c r="F88" i="38" s="1"/>
  <c r="C17" i="19"/>
  <c r="C29" i="19" l="1"/>
  <c r="D25" i="19" s="1"/>
  <c r="D26" i="19" s="1"/>
  <c r="D29" i="19" s="1"/>
  <c r="E25" i="19" s="1"/>
  <c r="C39" i="19"/>
  <c r="B26" i="15" s="1"/>
  <c r="B27" i="15" s="1"/>
  <c r="F5" i="19"/>
  <c r="E5" i="19"/>
  <c r="C20" i="19"/>
  <c r="D16" i="19" s="1"/>
  <c r="D17" i="19" s="1"/>
  <c r="B96" i="38"/>
  <c r="G88" i="38"/>
  <c r="G5" i="19"/>
  <c r="D35" i="19" l="1"/>
  <c r="D36" i="19" s="1"/>
  <c r="D39" i="19" s="1"/>
  <c r="B69" i="16"/>
  <c r="B70" i="16" s="1"/>
  <c r="B71" i="16" s="1"/>
  <c r="B21" i="15"/>
  <c r="B22" i="15" s="1"/>
  <c r="B59" i="16"/>
  <c r="B60" i="16" s="1"/>
  <c r="B61" i="16" s="1"/>
  <c r="D20" i="19"/>
  <c r="C59" i="16" s="1"/>
  <c r="C96" i="38"/>
  <c r="E26" i="19"/>
  <c r="E29" i="19" s="1"/>
  <c r="F25" i="19" s="1"/>
  <c r="H5" i="19"/>
  <c r="H88" i="38"/>
  <c r="C21" i="15" l="1"/>
  <c r="C22" i="15" s="1"/>
  <c r="B97" i="38"/>
  <c r="B21" i="16" s="1"/>
  <c r="E16" i="19"/>
  <c r="E17" i="19" s="1"/>
  <c r="F26" i="19"/>
  <c r="F29" i="19" s="1"/>
  <c r="G25" i="19" s="1"/>
  <c r="C97" i="38"/>
  <c r="C21" i="16" s="1"/>
  <c r="C60" i="16"/>
  <c r="C61" i="16" s="1"/>
  <c r="I88" i="38"/>
  <c r="I5" i="19"/>
  <c r="C69" i="16"/>
  <c r="C70" i="16" s="1"/>
  <c r="C71" i="16" s="1"/>
  <c r="C26" i="15"/>
  <c r="C27" i="15" s="1"/>
  <c r="E35" i="19"/>
  <c r="E20" i="19" l="1"/>
  <c r="F16" i="19" s="1"/>
  <c r="D96" i="38"/>
  <c r="G26" i="19"/>
  <c r="G29" i="19" s="1"/>
  <c r="H25" i="19" s="1"/>
  <c r="J88" i="38"/>
  <c r="J5" i="19"/>
  <c r="E36" i="19"/>
  <c r="E39" i="19" s="1"/>
  <c r="F35" i="19" s="1"/>
  <c r="D59" i="16" l="1"/>
  <c r="D60" i="16" s="1"/>
  <c r="D61" i="16" s="1"/>
  <c r="D21" i="15"/>
  <c r="D22" i="15" s="1"/>
  <c r="H26" i="19"/>
  <c r="H29" i="19" s="1"/>
  <c r="I25" i="19" s="1"/>
  <c r="F36" i="19"/>
  <c r="F39" i="19" s="1"/>
  <c r="D26" i="15"/>
  <c r="D27" i="15" s="1"/>
  <c r="D69" i="16"/>
  <c r="D70" i="16" s="1"/>
  <c r="D71" i="16" s="1"/>
  <c r="K88" i="38"/>
  <c r="L5" i="19" s="1"/>
  <c r="K5" i="19"/>
  <c r="F17" i="19"/>
  <c r="D97" i="38" l="1"/>
  <c r="D21" i="16" s="1"/>
  <c r="F20" i="19"/>
  <c r="G16" i="19" s="1"/>
  <c r="G17" i="19" s="1"/>
  <c r="E96" i="38"/>
  <c r="I26" i="19"/>
  <c r="I29" i="19" s="1"/>
  <c r="J25" i="19" s="1"/>
  <c r="E26" i="15"/>
  <c r="E27" i="15" s="1"/>
  <c r="E69" i="16"/>
  <c r="E70" i="16" s="1"/>
  <c r="E71" i="16" s="1"/>
  <c r="G35" i="19"/>
  <c r="E59" i="16" l="1"/>
  <c r="E60" i="16" s="1"/>
  <c r="E61" i="16" s="1"/>
  <c r="E21" i="15"/>
  <c r="E22" i="15" s="1"/>
  <c r="G20" i="19"/>
  <c r="H16" i="19" s="1"/>
  <c r="H17" i="19" s="1"/>
  <c r="F96" i="38"/>
  <c r="J26" i="19"/>
  <c r="J29" i="19" s="1"/>
  <c r="K25" i="19" s="1"/>
  <c r="G36" i="19"/>
  <c r="G39" i="19" s="1"/>
  <c r="F21" i="15" l="1"/>
  <c r="F22" i="15" s="1"/>
  <c r="F59" i="16"/>
  <c r="F60" i="16" s="1"/>
  <c r="F61" i="16" s="1"/>
  <c r="E97" i="38"/>
  <c r="E21" i="16" s="1"/>
  <c r="H20" i="19"/>
  <c r="G59" i="16" s="1"/>
  <c r="G97" i="38" s="1"/>
  <c r="G21" i="16" s="1"/>
  <c r="G96" i="38"/>
  <c r="K26" i="19"/>
  <c r="K29" i="19" s="1"/>
  <c r="L25" i="19" s="1"/>
  <c r="L26" i="19" s="1"/>
  <c r="L29" i="19" s="1"/>
  <c r="F69" i="16"/>
  <c r="F70" i="16" s="1"/>
  <c r="F71" i="16" s="1"/>
  <c r="F26" i="15"/>
  <c r="F27" i="15" s="1"/>
  <c r="H35" i="19"/>
  <c r="F97" i="38" l="1"/>
  <c r="F21" i="16" s="1"/>
  <c r="G60" i="16"/>
  <c r="G61" i="16" s="1"/>
  <c r="I16" i="19"/>
  <c r="I17" i="19" s="1"/>
  <c r="H36" i="19"/>
  <c r="H39" i="19" s="1"/>
  <c r="G69" i="16" s="1"/>
  <c r="G70" i="16" s="1"/>
  <c r="G71" i="16" s="1"/>
  <c r="I20" i="19" l="1"/>
  <c r="H59" i="16" s="1"/>
  <c r="H60" i="16" s="1"/>
  <c r="H61" i="16" s="1"/>
  <c r="H96" i="38"/>
  <c r="I35" i="19"/>
  <c r="I36" i="19" s="1"/>
  <c r="I39" i="19" s="1"/>
  <c r="H69" i="16" s="1"/>
  <c r="H70" i="16" s="1"/>
  <c r="H71" i="16" s="1"/>
  <c r="J16" i="19" l="1"/>
  <c r="J17" i="19" s="1"/>
  <c r="H97" i="38"/>
  <c r="H21" i="16" s="1"/>
  <c r="J35" i="19"/>
  <c r="J36" i="19" s="1"/>
  <c r="J39" i="19" s="1"/>
  <c r="I69" i="16" s="1"/>
  <c r="I70" i="16" s="1"/>
  <c r="I71" i="16" s="1"/>
  <c r="J20" i="19" l="1"/>
  <c r="I59" i="16" s="1"/>
  <c r="I60" i="16" s="1"/>
  <c r="I61" i="16" s="1"/>
  <c r="I96" i="38"/>
  <c r="K35" i="19"/>
  <c r="I97" i="38" l="1"/>
  <c r="I21" i="16" s="1"/>
  <c r="K16" i="19"/>
  <c r="K17" i="19" s="1"/>
  <c r="K36" i="19"/>
  <c r="K39" i="19" s="1"/>
  <c r="J69" i="16" s="1"/>
  <c r="J70" i="16" s="1"/>
  <c r="J71" i="16" s="1"/>
  <c r="K20" i="19" l="1"/>
  <c r="J59" i="16" s="1"/>
  <c r="J97" i="38" s="1"/>
  <c r="J21" i="16" s="1"/>
  <c r="J96" i="38"/>
  <c r="L35" i="19"/>
  <c r="L36" i="19" s="1"/>
  <c r="L39" i="19" s="1"/>
  <c r="K69" i="16" s="1"/>
  <c r="K70" i="16" s="1"/>
  <c r="K71" i="16" s="1"/>
  <c r="J60" i="16" l="1"/>
  <c r="J61" i="16" s="1"/>
  <c r="L16" i="19"/>
  <c r="L17" i="19" s="1"/>
  <c r="K96" i="38" s="1"/>
  <c r="L20" i="19" l="1"/>
  <c r="K59" i="16" s="1"/>
  <c r="K97" i="38" s="1"/>
  <c r="K21" i="16" s="1"/>
  <c r="K60" i="16" l="1"/>
  <c r="K6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A15" authorId="0" shapeId="0" xr:uid="{C91683ED-1916-473D-B51B-C9899954AD95}">
      <text>
        <r>
          <rPr>
            <sz val="9"/>
            <color indexed="81"/>
            <rFont val="Tahoma"/>
            <family val="2"/>
          </rPr>
          <t xml:space="preserve">MIT NEWDIGS FoCUS undertook a pipeline analysis to understand the magnitude of the financing challenge of durable cell and gene therapies in the United States (updated through December 2020).  As part of that work, the team developed estimates of the clinically-relevant* national incidence and prevalence of patients who might benefit from various product-indication launches.  </t>
        </r>
      </text>
    </comment>
    <comment ref="B23" authorId="0" shapeId="0" xr:uid="{3FC5409D-C9FB-4726-B77F-43A1C9CF59D6}">
      <text>
        <r>
          <rPr>
            <b/>
            <sz val="9"/>
            <color indexed="81"/>
            <rFont val="Tahoma"/>
            <family val="2"/>
          </rPr>
          <t xml:space="preserve">Clinically Relevant - Definition
</t>
        </r>
        <r>
          <rPr>
            <sz val="9"/>
            <color indexed="81"/>
            <rFont val="Tahoma"/>
            <family val="2"/>
          </rPr>
          <t xml:space="preserve">
The population that is eligible to receive a particular treatment from a medical perspective. The total estimated incidence and prevalence based on targeted searches of published and online literature for each disease in the US, adjusted downwards to reflect the typical clinical trial criteria for each indication. This is based on an assumption that product labels will ultimately reflect clinical trial populations.</t>
        </r>
      </text>
    </comment>
    <comment ref="B29" authorId="0" shapeId="0" xr:uid="{4F1B4E66-C7E0-453B-A5EC-BD9BDF53A9EF}">
      <text>
        <r>
          <rPr>
            <b/>
            <sz val="9"/>
            <color indexed="81"/>
            <rFont val="Tahoma"/>
            <family val="2"/>
          </rPr>
          <t xml:space="preserve">Payer Type Adjustment
</t>
        </r>
        <r>
          <rPr>
            <sz val="9"/>
            <color indexed="81"/>
            <rFont val="Tahoma"/>
            <family val="2"/>
          </rPr>
          <t xml:space="preserve">
The total US Incident and prevalent numbers developed for each indication are  based upon the demographics of the US population(General Population). The Population Estimator tool allows for further segmentation by Medicare, Medicaid or not Medicare or Medicaid as a number of indications are more common within the demographic covered by Medicare and Medicaid.  "Not Medicare or Medicaid" includes commercial plans, self-funded employer benefits, VA, Federal employees, prisoners, uninsured, Indian Health Services and all other coverage categories of lives not included in Medicare or Medicaid.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B20" authorId="0" shapeId="0" xr:uid="{B303857E-2C6C-4260-9FE6-B981F7D2ABFE}">
      <text>
        <r>
          <rPr>
            <b/>
            <sz val="9"/>
            <color indexed="81"/>
            <rFont val="Tahoma"/>
            <family val="2"/>
          </rPr>
          <t xml:space="preserve">Market Penetration Adjustments
</t>
        </r>
        <r>
          <rPr>
            <sz val="9"/>
            <color indexed="81"/>
            <rFont val="Tahoma"/>
            <family val="2"/>
          </rPr>
          <t xml:space="preserve">
Market Penetration is The percentage of individuals  likely to be treated divided by  treatment eligible individuals. Those that are clinically eligible for treatment may not be treated due to various market factors or personal choice.  In practice, the LIKELY TO BE TREATED population is expected to be smaller than the TREATABLE population. 
For diseases with severe consequences, the likely treated/treatable percentage is anticipated to be high, subject to any challenges in identifying appropriate patients. For diseases with less severe or more long-term consequences, only a small percentage of eligible patients may be treated. Using an appropriate modifier is vital for any analysis, as the full eligible population may substantially overestimate the number of patients treated. Unfortunately, market penetration is influenced by multiple factors and  there is no  simple way to anticipate  an appropriate percentage.
The orange boxes are optional inputs allowing the user to estimate market penetration.  If no changes are made, the default penetration rate used in the model will be 100%.   </t>
        </r>
      </text>
    </comment>
    <comment ref="B55" authorId="0" shapeId="0" xr:uid="{0194D97B-19B3-4EC4-AA89-BF26D5E212F1}">
      <text>
        <r>
          <rPr>
            <b/>
            <sz val="9"/>
            <color indexed="81"/>
            <rFont val="Tahoma"/>
            <family val="2"/>
          </rPr>
          <t xml:space="preserve">Factors That Influence Market Penetration
</t>
        </r>
        <r>
          <rPr>
            <sz val="9"/>
            <color indexed="81"/>
            <rFont val="Tahoma"/>
            <family val="2"/>
          </rPr>
          <t xml:space="preserve">
Impact on life expectancy, disease severity and disease costs are key factors influencing market penetration.  These questions  are provided to support modification of incidence and prevalence for market penetration. </t>
        </r>
      </text>
    </comment>
    <comment ref="B61" authorId="0" shapeId="0" xr:uid="{5B258652-2F5C-4A4C-9D21-C50CD7242515}">
      <text>
        <r>
          <rPr>
            <b/>
            <sz val="9"/>
            <color indexed="81"/>
            <rFont val="Tahoma"/>
            <family val="2"/>
          </rPr>
          <t xml:space="preserve">Uptake/Adoption Curve
</t>
        </r>
        <r>
          <rPr>
            <sz val="9"/>
            <color indexed="81"/>
            <rFont val="Tahoma"/>
            <family val="2"/>
          </rPr>
          <t xml:space="preserve">
This section reflects speed of market uptake of the product. </t>
        </r>
      </text>
    </comment>
    <comment ref="A70" authorId="0" shapeId="0" xr:uid="{0B398104-E43C-4F2C-9D13-78030FD5B221}">
      <text>
        <r>
          <rPr>
            <b/>
            <sz val="9"/>
            <color indexed="81"/>
            <rFont val="Tahoma"/>
            <family val="2"/>
          </rPr>
          <t xml:space="preserve">Estimated Treated opulation
</t>
        </r>
        <r>
          <rPr>
            <sz val="9"/>
            <color indexed="81"/>
            <rFont val="Tahoma"/>
            <family val="2"/>
          </rPr>
          <t xml:space="preserve">
Incident and Prevalent results in this section were carried over from the Population Estimator Tool.  Any modifiers previously applied are reflected in the base incidence and prevalence rates. You may use the orange cells in this section to enter your own incidence and prevalence numbers if you are analyzing a new indication not included in the FoCUS workbook or you have more accurate plan specific data. </t>
        </r>
      </text>
    </comment>
    <comment ref="A74" authorId="0" shapeId="0" xr:uid="{67B1A7B6-FB5F-416E-888A-755A19F05DE0}">
      <text>
        <r>
          <rPr>
            <b/>
            <sz val="9"/>
            <color indexed="81"/>
            <rFont val="Tahoma"/>
            <family val="2"/>
          </rPr>
          <t xml:space="preserve">Adoption Curve Definition
</t>
        </r>
        <r>
          <rPr>
            <sz val="9"/>
            <color indexed="81"/>
            <rFont val="Tahoma"/>
            <family val="2"/>
          </rPr>
          <t xml:space="preserve">
The adoption curve reflects how quickly patients likely to be TREATED will be treated.  The default assumption is that 100% of eligible patients are treated each year. You may wish to adjust for local market conditions that may alter the speed of uptake such as payer coverage decisions, provider availability, local market access,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M Young</author>
  </authors>
  <commentList>
    <comment ref="A36" authorId="0" shapeId="0" xr:uid="{D026D7AF-1562-404F-9292-38B7CC5BCB7C}">
      <text>
        <r>
          <rPr>
            <b/>
            <sz val="9"/>
            <color indexed="81"/>
            <rFont val="Tahoma"/>
            <family val="2"/>
          </rPr>
          <t xml:space="preserve">Therapy Product Cost
</t>
        </r>
        <r>
          <rPr>
            <sz val="9"/>
            <color indexed="81"/>
            <rFont val="Tahoma"/>
            <family val="2"/>
          </rPr>
          <t xml:space="preserve">
Therapy Product cost = anticipated claim cost for product; Costs used within the Pipeline Analysis model will be used if no data is entered.</t>
        </r>
      </text>
    </comment>
    <comment ref="A37" authorId="0" shapeId="0" xr:uid="{7A74521C-74F7-4DB3-B61F-FE4485148DD8}">
      <text>
        <r>
          <rPr>
            <b/>
            <sz val="9"/>
            <color indexed="81"/>
            <rFont val="Tahoma"/>
            <family val="2"/>
          </rPr>
          <t xml:space="preserve">Additional Associated Costs
</t>
        </r>
        <r>
          <rPr>
            <sz val="9"/>
            <color indexed="81"/>
            <rFont val="Tahoma"/>
            <family val="2"/>
          </rPr>
          <t xml:space="preserve">
potential costs include pre-therapy preparation and work up, post therapy care, travel costs, etc. </t>
        </r>
      </text>
    </comment>
    <comment ref="A38" authorId="0" shapeId="0" xr:uid="{B9F3F389-7331-4243-8AF9-6BD4F6DEF86A}">
      <text>
        <r>
          <rPr>
            <b/>
            <sz val="9"/>
            <color indexed="81"/>
            <rFont val="Tahoma"/>
            <family val="2"/>
          </rPr>
          <t xml:space="preserve">Contract Related Adjustments
</t>
        </r>
        <r>
          <rPr>
            <sz val="9"/>
            <color indexed="81"/>
            <rFont val="Tahoma"/>
            <family val="2"/>
          </rPr>
          <t xml:space="preserve">
Includes all contracts that may deliver cost offsets such as rebates, stop loss or reinsurance. Note -The amount expected to be paid by a stop loss or reinsurance should be entered.  </t>
        </r>
      </text>
    </comment>
    <comment ref="B49" authorId="0" shapeId="0" xr:uid="{DE5D2E1F-664F-4F62-BDCC-8C21220E0913}">
      <text>
        <r>
          <rPr>
            <b/>
            <sz val="9"/>
            <color indexed="81"/>
            <rFont val="Tahoma"/>
            <family val="2"/>
          </rPr>
          <t xml:space="preserve">Financial Risk Assessment
</t>
        </r>
        <r>
          <rPr>
            <sz val="9"/>
            <color indexed="81"/>
            <rFont val="Tahoma"/>
            <family val="2"/>
          </rPr>
          <t xml:space="preserve">
Warning:  Unless modified above, this section shows the expected cost and variability of a product in isolation.  It is important to consider both the impact of a treatment on its own and in the context of other relevant costs, such as other pre and post treatment clinical requirements. </t>
        </r>
      </text>
    </comment>
    <comment ref="A60" authorId="0" shapeId="0" xr:uid="{1BDF71E4-08DA-4292-A9CC-D2808AE774F4}">
      <text>
        <r>
          <rPr>
            <b/>
            <sz val="9"/>
            <color indexed="81"/>
            <rFont val="Tahoma"/>
            <family val="2"/>
          </rPr>
          <t xml:space="preserve">Cost of Therapy
</t>
        </r>
        <r>
          <rPr>
            <sz val="9"/>
            <color indexed="81"/>
            <rFont val="Tahoma"/>
            <family val="2"/>
          </rPr>
          <t xml:space="preserve">
Costs are held constant for the model as accurate projections of price increases is unlikely. </t>
        </r>
      </text>
    </comment>
    <comment ref="A61" authorId="0" shapeId="0" xr:uid="{9609F2E4-DC15-427F-9BFE-AA83C0F01919}">
      <text>
        <r>
          <rPr>
            <b/>
            <sz val="9"/>
            <color indexed="81"/>
            <rFont val="Tahoma"/>
            <family val="2"/>
          </rPr>
          <t>Generation of PMPM Costs</t>
        </r>
        <r>
          <rPr>
            <sz val="9"/>
            <color indexed="81"/>
            <rFont val="Tahoma"/>
            <family val="2"/>
          </rPr>
          <t xml:space="preserve">
Assumptions of cost, incidence and prevalence and ramp up of therapy use are used to generate expected and likely maximum PMPM costs.</t>
        </r>
      </text>
    </comment>
    <comment ref="A74" authorId="0" shapeId="0" xr:uid="{9D8ABA86-A4B3-4F2B-8116-3BD0AEA9DD8D}">
      <text>
        <r>
          <rPr>
            <b/>
            <sz val="9"/>
            <color indexed="81"/>
            <rFont val="Tahoma"/>
            <family val="2"/>
          </rPr>
          <t xml:space="preserve">Single Patient Impact
</t>
        </r>
        <r>
          <rPr>
            <sz val="9"/>
            <color indexed="81"/>
            <rFont val="Tahoma"/>
            <family val="2"/>
          </rPr>
          <t xml:space="preserve">
Even if you rarely expect to see a treated patient, the consequences may be severe in years that you do. This section gives you an idea of the likelihood of actually seeing a patient. Note: The probability of seeing a patient is lower than the expected incidence because you may see more than one patient in some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<sst xmlns="http://schemas.openxmlformats.org/spreadsheetml/2006/main" count="4397" uniqueCount="2330">
  <si>
    <t>Milestone-based contract</t>
  </si>
  <si>
    <t>Y/N</t>
  </si>
  <si>
    <t>Incidence</t>
  </si>
  <si>
    <t>Inpatient</t>
  </si>
  <si>
    <t>Managed Medicaid</t>
  </si>
  <si>
    <t>Y</t>
  </si>
  <si>
    <t>N</t>
  </si>
  <si>
    <t>Self-insured Employer</t>
  </si>
  <si>
    <t>Payer Type</t>
  </si>
  <si>
    <t>Timing within which product performance established</t>
  </si>
  <si>
    <t>&gt;1 year</t>
  </si>
  <si>
    <t>Actuarial Risk</t>
  </si>
  <si>
    <t>Payment Timing</t>
  </si>
  <si>
    <t>Performance Risk</t>
  </si>
  <si>
    <t>Performance-based Annuity</t>
  </si>
  <si>
    <t>Risk Pool</t>
  </si>
  <si>
    <t>ORBM</t>
  </si>
  <si>
    <t>Precision Financing Solutions</t>
  </si>
  <si>
    <t>Buy vs. Bill</t>
  </si>
  <si>
    <t>Patient Mobility</t>
  </si>
  <si>
    <t>Y/N Responses</t>
  </si>
  <si>
    <t>Multi-year milestone-based contract</t>
  </si>
  <si>
    <t>Execution Risk</t>
  </si>
  <si>
    <t>Type of therapy</t>
  </si>
  <si>
    <t>Term</t>
  </si>
  <si>
    <t>Payment over time/Installment financing</t>
  </si>
  <si>
    <t>Other Solution Design Considerations</t>
  </si>
  <si>
    <t>Outcomes tracking over time</t>
  </si>
  <si>
    <t>Reinsurance/stop loss coverage</t>
  </si>
  <si>
    <t>Patient financial implications</t>
  </si>
  <si>
    <t>Centers of excellence</t>
  </si>
  <si>
    <t>Provider accreditation</t>
  </si>
  <si>
    <t>&lt;=1 year</t>
  </si>
  <si>
    <t>Outpatient Physician Administered</t>
  </si>
  <si>
    <t>Solution Prioritization Tool</t>
  </si>
  <si>
    <t>Patient Estimates Tool</t>
  </si>
  <si>
    <t>Musculoskeletal</t>
  </si>
  <si>
    <t>Cardiovascular</t>
  </si>
  <si>
    <t>Term for which payer can sign contract</t>
  </si>
  <si>
    <t>X</t>
  </si>
  <si>
    <t>Commercial Insurers/ MCOs</t>
  </si>
  <si>
    <t>Timing Considerations</t>
  </si>
  <si>
    <t>Type of Risk to be Mitigated</t>
  </si>
  <si>
    <t>Perfor-mance Risk</t>
  </si>
  <si>
    <t>Price per Patient Treated</t>
  </si>
  <si>
    <t>PMPM</t>
  </si>
  <si>
    <t>Cancer, hematological</t>
  </si>
  <si>
    <t>Cancer, solid tumor</t>
  </si>
  <si>
    <t>Hematology</t>
  </si>
  <si>
    <t>Immunological</t>
  </si>
  <si>
    <t>Metabolic</t>
  </si>
  <si>
    <t>Neurological</t>
  </si>
  <si>
    <t>Ophthalmological</t>
  </si>
  <si>
    <t>Other</t>
  </si>
  <si>
    <t>Achromatopsia</t>
  </si>
  <si>
    <t>Adrenoleukodystrophy</t>
  </si>
  <si>
    <t>Dystrophy, Duchenne's muscular</t>
  </si>
  <si>
    <t>Haemophilia A</t>
  </si>
  <si>
    <t>Haemophilia B</t>
  </si>
  <si>
    <t>Leber's hereditary optic neuropathy</t>
  </si>
  <si>
    <t>Leukodystrophy, metachromatic</t>
  </si>
  <si>
    <t>Muscular atrophy, spinal</t>
  </si>
  <si>
    <t>Neuropathy, diabetic</t>
  </si>
  <si>
    <t>Ulcer, diabetic</t>
  </si>
  <si>
    <t>Indication</t>
  </si>
  <si>
    <t>Prevalence</t>
  </si>
  <si>
    <t>Year 1</t>
  </si>
  <si>
    <t>Year 2</t>
  </si>
  <si>
    <t>Year 3</t>
  </si>
  <si>
    <t>Year 4</t>
  </si>
  <si>
    <t>Year 5</t>
  </si>
  <si>
    <t>Year 6</t>
  </si>
  <si>
    <t>Year 7</t>
  </si>
  <si>
    <t>Year 8</t>
  </si>
  <si>
    <t>Year 9</t>
  </si>
  <si>
    <t>Year 10</t>
  </si>
  <si>
    <t>Therapy Characteristics</t>
  </si>
  <si>
    <t>Plan Characteristics</t>
  </si>
  <si>
    <t>Base Incidence</t>
  </si>
  <si>
    <t>Base Prevalence</t>
  </si>
  <si>
    <t>User-entered Incidence</t>
  </si>
  <si>
    <t>Patient Treatment Pattern</t>
  </si>
  <si>
    <t>Starting Prevalent Population</t>
  </si>
  <si>
    <t>Incident Population</t>
  </si>
  <si>
    <t>Patients Treated (#)</t>
  </si>
  <si>
    <t>Cost of Therapy ($millions)</t>
  </si>
  <si>
    <t>PMPM ($)</t>
  </si>
  <si>
    <t>Yes/No Responses</t>
  </si>
  <si>
    <t>Yes</t>
  </si>
  <si>
    <t>No</t>
  </si>
  <si>
    <t>Known/Estimated</t>
  </si>
  <si>
    <t>Known</t>
  </si>
  <si>
    <t>Estimated</t>
  </si>
  <si>
    <t>Expected Calculation</t>
  </si>
  <si>
    <t>95% Calculation</t>
  </si>
  <si>
    <t>95% Incident Pop</t>
  </si>
  <si>
    <t>Delta</t>
  </si>
  <si>
    <t>Cost of Treating One Patient</t>
  </si>
  <si>
    <t>95% of the Time, Outcomes will not Exceed about…</t>
  </si>
  <si>
    <t>Portfolio Context - Durable</t>
  </si>
  <si>
    <t>Portfolio Graphing Choice</t>
  </si>
  <si>
    <t>Single Patient</t>
  </si>
  <si>
    <t>None</t>
  </si>
  <si>
    <t>X Products</t>
  </si>
  <si>
    <t>FoCUS Pipeline</t>
  </si>
  <si>
    <t>Total Dollars</t>
  </si>
  <si>
    <t>Graphing Choice</t>
  </si>
  <si>
    <t>Exp Outcomes</t>
  </si>
  <si>
    <t>Reinsurance</t>
  </si>
  <si>
    <t>Annual Probability of Treating One or More Patients</t>
  </si>
  <si>
    <t xml:space="preserve">        Note: Incident population only</t>
  </si>
  <si>
    <t>Uptake Curve (Used)</t>
  </si>
  <si>
    <r>
      <rPr>
        <u/>
        <sz val="11"/>
        <color theme="1"/>
        <rFont val="Calibri"/>
        <family val="2"/>
        <scheme val="minor"/>
      </rPr>
      <t>Incident</t>
    </r>
    <r>
      <rPr>
        <sz val="11"/>
        <color theme="1"/>
        <rFont val="Calibri"/>
        <family val="2"/>
        <scheme val="minor"/>
      </rPr>
      <t xml:space="preserve"> Patients Treated, by Year</t>
    </r>
  </si>
  <si>
    <r>
      <rPr>
        <u/>
        <sz val="11"/>
        <color theme="1"/>
        <rFont val="Calibri"/>
        <family val="2"/>
        <scheme val="minor"/>
      </rPr>
      <t>Prevalent</t>
    </r>
    <r>
      <rPr>
        <sz val="11"/>
        <color theme="1"/>
        <rFont val="Calibri"/>
        <family val="2"/>
        <scheme val="minor"/>
      </rPr>
      <t xml:space="preserve"> Patients Treated, by Year</t>
    </r>
  </si>
  <si>
    <t>Untreated Patients Remaining Eligible</t>
  </si>
  <si>
    <t>Population Estimator Tool</t>
  </si>
  <si>
    <t>Total US Prevalence Estimate</t>
  </si>
  <si>
    <t>Medicare Advantage</t>
  </si>
  <si>
    <t>Medicare FFS</t>
  </si>
  <si>
    <t>Medicaid FFS</t>
  </si>
  <si>
    <t>?</t>
  </si>
  <si>
    <t>Choose among 4 by considering these 6 items</t>
  </si>
  <si>
    <t>Would your partner have a problem with MBP?</t>
  </si>
  <si>
    <t>Are you managed medicaid</t>
  </si>
  <si>
    <t>Do these 6 things apply</t>
  </si>
  <si>
    <t>Desire to chase the rebates</t>
  </si>
  <si>
    <t>If State run easier to do SPA</t>
  </si>
  <si>
    <t>Rebates vs. prospective payments</t>
  </si>
  <si>
    <t>If managed medicaid have to negotiate with KAHA like person to pull it out and contract for it directly</t>
  </si>
  <si>
    <t>Who is doing data collection</t>
  </si>
  <si>
    <t>Are there carveouts for the expensive drugs</t>
  </si>
  <si>
    <t>MBP</t>
  </si>
  <si>
    <t>If large payer reinsurance doesn't show up</t>
  </si>
  <si>
    <t>Are you concerned about predictability for your premium rates? Then actuarial risk solutions are higher priority</t>
  </si>
  <si>
    <t>Answers to these questions may change based on portfolio view</t>
  </si>
  <si>
    <t>Commercial Insurer/MCO</t>
  </si>
  <si>
    <t>Do you prefer to get rebates from a manufacturer or commit to prospective payments?</t>
  </si>
  <si>
    <t>Do you have the internal capabilities to track patients to gather outcomes data?</t>
  </si>
  <si>
    <t>(Rebates, Prospective Payments)</t>
  </si>
  <si>
    <t>Rebates</t>
  </si>
  <si>
    <t>Prospective Payments</t>
  </si>
  <si>
    <t>Rebates vs. Prospective Payments</t>
  </si>
  <si>
    <t>Would your contracting partner (e.g., the developer) be required to provide additional rebates to others under Medicaid Best Price by contracting with you?</t>
  </si>
  <si>
    <t>Payer Preferenes</t>
  </si>
  <si>
    <t>Premium predictability critical</t>
  </si>
  <si>
    <t>Rebates or Prospective Payments</t>
  </si>
  <si>
    <t>Internal capabilities to track outcomes</t>
  </si>
  <si>
    <t>Contracting Partner limited by MBP</t>
  </si>
  <si>
    <t>First Cut Solution Prioritization</t>
  </si>
  <si>
    <t>Second Cut Solution Prioritization</t>
  </si>
  <si>
    <t>Very large, Self-reinsured</t>
  </si>
  <si>
    <t>Prospective Payment</t>
  </si>
  <si>
    <t>Do you have a willingness to do contracts beyond when a member leaves?</t>
  </si>
  <si>
    <t>Do you get reimbursed via a reconciliation process or risk corridors?</t>
  </si>
  <si>
    <t>Question Set 1</t>
  </si>
  <si>
    <t>Logic Table 1</t>
  </si>
  <si>
    <t>(Answers)</t>
  </si>
  <si>
    <t>1) Blah, blah, blah</t>
  </si>
  <si>
    <t>2)</t>
  </si>
  <si>
    <t>Opt 1</t>
  </si>
  <si>
    <t>Opt 2</t>
  </si>
  <si>
    <t>Opt 3</t>
  </si>
  <si>
    <t>3)</t>
  </si>
  <si>
    <t>4)</t>
  </si>
  <si>
    <t>5)</t>
  </si>
  <si>
    <t>Answers</t>
  </si>
  <si>
    <t>&lt;-- Q1</t>
  </si>
  <si>
    <t>&lt;-- Q2</t>
  </si>
  <si>
    <t>&lt;-- Q3</t>
  </si>
  <si>
    <t>USER INPUT</t>
  </si>
  <si>
    <t>&lt;-- Q4</t>
  </si>
  <si>
    <t>&lt;-- Q5</t>
  </si>
  <si>
    <t>MET? --&gt;</t>
  </si>
  <si>
    <t>Question Set 2</t>
  </si>
  <si>
    <t>--&gt;</t>
  </si>
  <si>
    <t>ANSWERS ARE NUMERIC EQUIV OF INPUT.</t>
  </si>
  <si>
    <t>LOGIC TABLE DETERMINES IF RELEVANT CONDITIONS MET.</t>
  </si>
  <si>
    <t>QUESTIONS 6-8 APPEAR BASED ON WHETHER OPT 1-3 ARE TRUE</t>
  </si>
  <si>
    <t>Opt 4</t>
  </si>
  <si>
    <t>Opt 5</t>
  </si>
  <si>
    <t>Opt 6</t>
  </si>
  <si>
    <t>Logic Table 2</t>
  </si>
  <si>
    <t>Output Options</t>
  </si>
  <si>
    <t>&lt;--Opt 1 from above</t>
  </si>
  <si>
    <t>&lt;--Opt 2 from above</t>
  </si>
  <si>
    <t>&lt;--Opt 3 from above</t>
  </si>
  <si>
    <t>&lt;-- Q6</t>
  </si>
  <si>
    <t>&lt;-- Q7</t>
  </si>
  <si>
    <t>OUTPUTS APPEAR BASED ON WHETHER OPT 4-6 ARE TRUE</t>
  </si>
  <si>
    <t>&lt;-- Q8</t>
  </si>
  <si>
    <t>MET--&gt;</t>
  </si>
  <si>
    <t>Reinsurance/Stop Loss Insurance</t>
  </si>
  <si>
    <t>Payment Timing Risk</t>
  </si>
  <si>
    <t>(Y/N)</t>
  </si>
  <si>
    <t>Would this financial impact only be an issue in early years (surge effect due to prevalent disease frequency)?</t>
  </si>
  <si>
    <t>Not</t>
  </si>
  <si>
    <t>Therapeutic Class</t>
  </si>
  <si>
    <t>Cancer, solid, unspecified</t>
  </si>
  <si>
    <t>Angina, pectoris</t>
  </si>
  <si>
    <t>Anaemia, aplastic, Fanconi's</t>
  </si>
  <si>
    <t>Arthritis, psoriatic</t>
  </si>
  <si>
    <t>Aromatic L-amino acid decarboxylase deficiency</t>
  </si>
  <si>
    <t>Arthritis, osteo</t>
  </si>
  <si>
    <t>Alpha-1 antitrypsin deficiency</t>
  </si>
  <si>
    <t>Cancer, neoplasms</t>
  </si>
  <si>
    <t>Chronic granulomatous disease</t>
  </si>
  <si>
    <t>Crigler-Najjar syndrome</t>
  </si>
  <si>
    <t>Arthritis, rheumatoid</t>
  </si>
  <si>
    <t>Alzheimer's disease</t>
  </si>
  <si>
    <t>Choroideremia</t>
  </si>
  <si>
    <t>Cancer, leukaemia, acute lymphocytic</t>
  </si>
  <si>
    <t>Cancer, brain</t>
  </si>
  <si>
    <t>Leukocyte adhesion deficiency</t>
  </si>
  <si>
    <t>Diabetes, Type 1</t>
  </si>
  <si>
    <t>Amyotrophic lateral sclerosis</t>
  </si>
  <si>
    <t>Leber's congenital amaurosis</t>
  </si>
  <si>
    <t>Epidermolysis bullosa, dystrophic, recessive</t>
  </si>
  <si>
    <t>Cancer, leukaemia, acute myelogenous</t>
  </si>
  <si>
    <t>Cancer, CNS</t>
  </si>
  <si>
    <t>Heart failure</t>
  </si>
  <si>
    <t>Thalassaemia, Beta</t>
  </si>
  <si>
    <t>SCID, ADA</t>
  </si>
  <si>
    <t>Fabry's disease</t>
  </si>
  <si>
    <t>Dystrophy, limb-girdle muscular</t>
  </si>
  <si>
    <t>Batten's disease</t>
  </si>
  <si>
    <t>Hearing loss</t>
  </si>
  <si>
    <t>Cancer, leukaemia, chronic lymphocytic</t>
  </si>
  <si>
    <t>Cancer, glioblastoma</t>
  </si>
  <si>
    <t>Homozygous familial hypercholesterolaemia</t>
  </si>
  <si>
    <t>SCID, artemis</t>
  </si>
  <si>
    <t>Gaucher's disease</t>
  </si>
  <si>
    <t>Myotubular myopathy, x-linked</t>
  </si>
  <si>
    <t>Macular degeneration, age-related, dry</t>
  </si>
  <si>
    <t>Cancer, glioma</t>
  </si>
  <si>
    <t>Hypertension, pulmonary</t>
  </si>
  <si>
    <t>SCID, x-linked</t>
  </si>
  <si>
    <t>Glycogen storage disease, Type I</t>
  </si>
  <si>
    <t>Macular degeneration, age-related, wet</t>
  </si>
  <si>
    <t>Cancer, neuroblastoma</t>
  </si>
  <si>
    <t>Infarction, myocardial</t>
  </si>
  <si>
    <t>Scleroderma</t>
  </si>
  <si>
    <t>Glycogen storage disease, Type II</t>
  </si>
  <si>
    <t>Netherton's syndrome</t>
  </si>
  <si>
    <t>Cancer, lymphoma, Hodgkin's</t>
  </si>
  <si>
    <t>Cancer, breast</t>
  </si>
  <si>
    <t>Neuromyelitis Optica</t>
  </si>
  <si>
    <t>Retinitis pigmentosa</t>
  </si>
  <si>
    <t>Cancer, ovarian</t>
  </si>
  <si>
    <t>Mucopolysaccharidosis, Type I</t>
  </si>
  <si>
    <t>Retinitis pigmentosa, x-linked</t>
  </si>
  <si>
    <t>Overactive bladder</t>
  </si>
  <si>
    <t>Cancer, lymphoma, B-cell</t>
  </si>
  <si>
    <t>Cancer, fallopian tube</t>
  </si>
  <si>
    <t>Peripheral vascular disease</t>
  </si>
  <si>
    <t>Mucopolysaccharidosis, Type II</t>
  </si>
  <si>
    <t>Parkinson's disease</t>
  </si>
  <si>
    <t>Retinoschisis, x-linked</t>
  </si>
  <si>
    <t>Cancer, lymphoma, B-cell, diffuse large</t>
  </si>
  <si>
    <t>Cancer, peritoneal</t>
  </si>
  <si>
    <t>Mucopolysaccharidosis, Type IIIA</t>
  </si>
  <si>
    <t>Cancer, cervical</t>
  </si>
  <si>
    <t>Mucopolysaccharidosis, Type IIIB</t>
  </si>
  <si>
    <t>Mucopolysaccharidosis, Type VI</t>
  </si>
  <si>
    <t>Cancer, gastrointestinal</t>
  </si>
  <si>
    <t>Ornithine transcarbamylase deficiency</t>
  </si>
  <si>
    <t>Wiskott-Aldrich syndrome</t>
  </si>
  <si>
    <t>Cancer, BPDCN</t>
  </si>
  <si>
    <t>Cancer, oesophageal</t>
  </si>
  <si>
    <t>Wound healing</t>
  </si>
  <si>
    <t>Cancer, leukaemia, T-cell</t>
  </si>
  <si>
    <t>Cancer, stomach</t>
  </si>
  <si>
    <t>Cancer, lymphoma, T-cell</t>
  </si>
  <si>
    <t>Cancer, colorectal</t>
  </si>
  <si>
    <t>Cancer, myeloma</t>
  </si>
  <si>
    <t>Cancer, anal</t>
  </si>
  <si>
    <t>Myelodysplastic syndrome</t>
  </si>
  <si>
    <t>Cancer, head and neck</t>
  </si>
  <si>
    <t>Cancer, nasopharyngeal</t>
  </si>
  <si>
    <t>Cancer, thyroid</t>
  </si>
  <si>
    <t>Cancer, lung, non-small cell</t>
  </si>
  <si>
    <t>Cancer, mesothelioma</t>
  </si>
  <si>
    <t>Malignant pleural effusion</t>
  </si>
  <si>
    <t>Cancer, melanoma</t>
  </si>
  <si>
    <t>Cancer, Merkel cell</t>
  </si>
  <si>
    <t>Cancer, liver</t>
  </si>
  <si>
    <t>Cancer, pancreatic</t>
  </si>
  <si>
    <t>Cancer, renal</t>
  </si>
  <si>
    <t>Cancer, prostate</t>
  </si>
  <si>
    <t>Cancer, bladder</t>
  </si>
  <si>
    <t>Cancer, sarcoma, unspecified</t>
  </si>
  <si>
    <t>Cancer, rhabdomyosarcoma</t>
  </si>
  <si>
    <t>Cancer, sarcoma, lipo</t>
  </si>
  <si>
    <t>Cancer, sarcoma, synovial</t>
  </si>
  <si>
    <t>Discriminators</t>
  </si>
  <si>
    <t>Items used in calculation</t>
  </si>
  <si>
    <t>for Selected</t>
  </si>
  <si>
    <t>of the Drop down menus</t>
  </si>
  <si>
    <t>Disease</t>
  </si>
  <si>
    <t>All</t>
  </si>
  <si>
    <t>'Therapeutic Classes - Diseases'!</t>
  </si>
  <si>
    <t>'Disease - complete'!</t>
  </si>
  <si>
    <t>Disease and Discriminator</t>
  </si>
  <si>
    <t>Discriminator</t>
  </si>
  <si>
    <t>Type</t>
  </si>
  <si>
    <t>Menus --&gt;</t>
  </si>
  <si>
    <t>Users are advised to perform more detailed modeling on your own as appropriate. Assumptions used herein may not reflect your particular circumstances. Please check any user-entered information for accuracy.</t>
  </si>
  <si>
    <t>Therapy Impact Modeling Tool</t>
  </si>
  <si>
    <t>Will a performance guarantee be desired to provide/secure therapy access?</t>
  </si>
  <si>
    <t>Your Plan Size (# of members)</t>
  </si>
  <si>
    <t>The Solution Prioritization Tool will also point you to other solution design considerations you may wish to consider in building a full solution for providing patient access to the selected therapy.</t>
  </si>
  <si>
    <t>If your organization is unlikely to treat patients (95% of outcomes have no treated patients), would treating one patient cause significant financial impact if it occurs?</t>
  </si>
  <si>
    <t>First Menu Choice</t>
  </si>
  <si>
    <t>Options for Menu 3</t>
  </si>
  <si>
    <t>Formula for Menu 3</t>
  </si>
  <si>
    <r>
      <t xml:space="preserve">Plan(s) size   </t>
    </r>
    <r>
      <rPr>
        <i/>
        <sz val="9"/>
        <color theme="1"/>
        <rFont val="Calibri"/>
        <family val="2"/>
        <scheme val="minor"/>
      </rPr>
      <t>(From Population Estimator Tool)</t>
    </r>
  </si>
  <si>
    <r>
      <t xml:space="preserve">Indication   </t>
    </r>
    <r>
      <rPr>
        <i/>
        <sz val="9"/>
        <color theme="1"/>
        <rFont val="Calibri"/>
        <family val="2"/>
        <scheme val="minor"/>
      </rPr>
      <t>(From Population Estimator Tool)</t>
    </r>
  </si>
  <si>
    <t>Therapeutic 
class</t>
  </si>
  <si>
    <t>Sub population</t>
  </si>
  <si>
    <t>Does your organization have significant actuarial risk for the therapy that is not managed through your existing mechanisms (risk premium, stop loss, reinsurance, risk pooling, etc.)?</t>
  </si>
  <si>
    <t>It asks you to consider the expected financial therapy impact as detailed in the Therapy Impact Modeling Tool and your organization’s preferences and assesses the implications for your organization.</t>
  </si>
  <si>
    <t>Provider certification and/or centers of excellence</t>
  </si>
  <si>
    <t>Out of state networks</t>
  </si>
  <si>
    <t>Provider financial implications</t>
  </si>
  <si>
    <t>State plan amendments</t>
  </si>
  <si>
    <t>Given the costs/PMPM, would the financial impact be higher than your organization can absorb in any year if the high (95%) outcome occurs?</t>
  </si>
  <si>
    <t>Incidence
Modifier</t>
  </si>
  <si>
    <t>Prevalence
Modifier</t>
  </si>
  <si>
    <t>Orphan Reinsurer and Benefit Manager (ORBM)</t>
  </si>
  <si>
    <t>Overview</t>
  </si>
  <si>
    <t xml:space="preserve">Users are advised to perform more detailed modeling on your own as appropriate. Assumptions used herein </t>
  </si>
  <si>
    <t>may not reflect your particular circumstances. Please check any user-entered information for accuracy.</t>
  </si>
  <si>
    <t>Terms and conditions</t>
  </si>
  <si>
    <t>Acceptance of the Terms of Use</t>
  </si>
  <si>
    <t>Changes to the Terms of Use</t>
  </si>
  <si>
    <t>Accessing this Site</t>
  </si>
  <si>
    <t>4. You are responsible for making all arrangements necessary for you to have access to the Site.</t>
  </si>
  <si>
    <t>Prohibited Uses</t>
  </si>
  <si>
    <t>1. You may use the Site only for lawful purposes and in accordance with these Terms of Use. You agree not to use the Site or the Content:</t>
  </si>
  <si>
    <t>2. In any way that violates any applicable federal, state, local and international law or regulation; and</t>
  </si>
  <si>
    <t>2. Additionally, you agree not to:</t>
  </si>
  <si>
    <t>1. Use any robot, spider or other automatic device, process or means to access the Site for any purpose, including to monitor or impermissibly copy any of the material on the Site;</t>
  </si>
  <si>
    <t>2. Use any manual process to monitor or impermissibly copy any of the material on the Site or for any other unauthorized purpose without the prior written consent of MIT;</t>
  </si>
  <si>
    <t>3. Introduce any viruses, Trojan horses, worms, logic bombs or other material which is malicious or technologically harmful;</t>
  </si>
  <si>
    <t>5. Attack the Site via a denial-of-service attack or a distributed denial-of-service attack; or</t>
  </si>
  <si>
    <t>6. Access or search or attempt to access or search the Site by any means (automated or otherwise) other than through our currently available, published interfaces provided by MIT; or</t>
  </si>
  <si>
    <t>7. Otherwise attempt to interfere with the proper working of the Site.</t>
  </si>
  <si>
    <t>Intellectual Property Rights</t>
  </si>
  <si>
    <t>4. You must not:</t>
  </si>
  <si>
    <t>1. Modify copies of any Content, except as expressly authorized by MIT on the Site;</t>
  </si>
  <si>
    <t>2. Use any illustrations, photographs, video or audio sequences or any graphics separately from the accompanying text; or</t>
  </si>
  <si>
    <t>3. Delete or alter any copyright, trademark or other proprietary rights notices from any Content.</t>
  </si>
  <si>
    <t>Disclaimer of Warranties</t>
  </si>
  <si>
    <t>2. THE FOREGOING DOES NOT AFFECT ANY WARRANTIES WHICH CANNOT BE EXCLUDED OR LIMITED UNDER APPLICABLE LAW.</t>
  </si>
  <si>
    <t>Limitation on Liability</t>
  </si>
  <si>
    <t>2. THE FOREGOING DOES NOT AFFECT ANY LIABILITY WHICH CANNOT BE EXCLUDED OR LIMITED UNDER APPLICABLE LAW.</t>
  </si>
  <si>
    <t>Indemnification</t>
  </si>
  <si>
    <t>Monitoring and Enforcement</t>
  </si>
  <si>
    <t>Site Assistance</t>
  </si>
  <si>
    <t>Links from the Site</t>
  </si>
  <si>
    <t>Geographic Restrictions</t>
  </si>
  <si>
    <t>Dispute Resolution By Arbitration</t>
  </si>
  <si>
    <t>Governing Law</t>
  </si>
  <si>
    <t>Limitation on Time to File Claims</t>
  </si>
  <si>
    <t>Waiver and Severability</t>
  </si>
  <si>
    <t>Comments and Concerns</t>
  </si>
  <si>
    <t>Thank you for visiting our Site.</t>
  </si>
  <si>
    <t>PLEASE READ THESE TERMS OF USE BEFORE USING THESE MATERIALS.</t>
  </si>
  <si>
    <t xml:space="preserve">Welcome to the website and materials of the Financing and reimbursement of Cures in the US (“FoCUS”) Project, a part of the </t>
  </si>
  <si>
    <t xml:space="preserve">New Drug Development Paradigms Initiative (“NEWDIGS”) within the Center for Biomedical Innovation (“CBI”) at the Massachusetts Institute </t>
  </si>
  <si>
    <t>If you do not agree to these Terms of Use, you should not visit the Site or use these materials.</t>
  </si>
  <si>
    <t>MIT reserves the right to change these Terms of Use at any time in its sole discretion by posting revisions on the Site. Such revisions will be effective</t>
  </si>
  <si>
    <t>immediately upon posting them to the Site. Your use of the Site or materials after such changes have been posted shall constitute your acceptance of the revised Terms of Use.</t>
  </si>
  <si>
    <t>1. By using this Site or materials, you represent and warrant that you are 13 years or older. If you are under the age of 13 years, you agree not to visit the Site or use these materials.</t>
  </si>
  <si>
    <t xml:space="preserve">2. MIT reserves the right to change or update the Site, and any information, service, tool, model, material, features and functionality (including but not limited to all software, text, </t>
  </si>
  <si>
    <t xml:space="preserve">displays, downloadable spreadsheets, images, video and audio, and the design, selection and arrangement thereof) or other content we provide on the Site (collectively, “Content”), </t>
  </si>
  <si>
    <t>in our sole discretion and without notice. However, MIT is under no obligation to update or correct any Content.</t>
  </si>
  <si>
    <t xml:space="preserve">3. MIT will not be responsible or liable if for any reason all or any part of the Site is unavailable at any time or for any period. MIT may suspend access to the entire Site, </t>
  </si>
  <si>
    <t>or some parts of the Site, or close it indefinitely, in MIT’s discretion.</t>
  </si>
  <si>
    <t xml:space="preserve">1. For commercial purposes, including that you may not reproduce, sell or exploit for any commercial purposes any part of the Site, access to the Site, use of the Site or any </t>
  </si>
  <si>
    <t>Content available through the Site;</t>
  </si>
  <si>
    <t xml:space="preserve">of Technology (the “Site”).  These Terms of Use govern your use of the Site and the materials found on the Site, including but not limited to this workbook. </t>
  </si>
  <si>
    <t xml:space="preserve">Please read these Terms of Use carefully before you start to use the Site and these materials. By using the Site and materials, you hereby accept these Terms of Use. </t>
  </si>
  <si>
    <t xml:space="preserve">5. You are responsible for ensuring that all persons who access the Site through your Internet connection or utilize the materials gained through your internet connection are </t>
  </si>
  <si>
    <t>aware of these Terms of Use, and that they comply with them.</t>
  </si>
  <si>
    <t xml:space="preserve">3. To engage in any other conduct that restricts or inhibits anyone’s use or enjoyment of the Site, or which, as determined by MIT, may harm MIT, CBI or users of the Site or </t>
  </si>
  <si>
    <t>expose them to liability (for example, in a manner that that could disable, overburden, damage, or impair the Site).</t>
  </si>
  <si>
    <t xml:space="preserve">4. Attempt to gain unauthorized access to, interfere with, damage or disrupt any part of the Site, the server on which any part of the Site is stored or any server, computer </t>
  </si>
  <si>
    <t>or database connected to the Site;</t>
  </si>
  <si>
    <t xml:space="preserve">1. The Site and all Content and all intellectual property rights therein are owned by MIT, its licensors or other providers. You must not use the name “Massachusetts Institute of Technology” </t>
  </si>
  <si>
    <t xml:space="preserve">or “Center for Biomedical Innovation” or any variation, adaptation, or abbreviation thereof, or of any of MIT’s trustees, officers, faculty, students, employees, or agents, or any trademark </t>
  </si>
  <si>
    <t>owned by MIT (which includes the MIT and CBI logos) without the prior written permission of MIT. All other trademarks appearing on the Site are the property of their respective owners.</t>
  </si>
  <si>
    <t xml:space="preserve">2. Some of the Content on the Site is not available for downloading, such as our copyrighted works that we do not distribute or works of others that we are not permitted to distribute. </t>
  </si>
  <si>
    <t>Selected content may be downloaded by you pursuant to these Terms of Use (“Available Content”) where expressly indicated. Users are granted a limited, revocable, nonexclusive,</t>
  </si>
  <si>
    <t xml:space="preserve"> nontransferable license to use Available Content conditioned on your continued compliance with these Terms of Use. YOU MAY REVIEW, DOWNLOAD, COPY, DISTRIBUTE </t>
  </si>
  <si>
    <t xml:space="preserve">AND USE THE AVAILABLE CONTENT SOLELY FOR THE PURPOSE OF GENERAL INFORMATION GATHERING AND/OR RESEARCH PURPOSES , PROVIDED THAT YOU </t>
  </si>
  <si>
    <t xml:space="preserve">3. If and to the extent you provide any feedback, suggestions, recommendations, analysis or other information or data to MIT or CBI in connection with your use of the Site or the Content (“Feedback”), </t>
  </si>
  <si>
    <t>you hereby permit MIT to use, reproduce, disclose, distribute, modify, and prepare derivative works of such Feedback for any purpose whatsoever in perpetuity.</t>
  </si>
  <si>
    <t xml:space="preserve">5. No right, title or interest in or to the Site or any Content is transferred to you, and all rights not expressly granted are reserved by MIT. Any use of the Site not expressly permitted by these </t>
  </si>
  <si>
    <t>Terms of Use is a breach of these Terms of Use and may violate copyright, trademark and other laws.</t>
  </si>
  <si>
    <t xml:space="preserve">1. The Site and the Content is made available solely for general informational purposes. THE SITE, THE CONTENT AND ANY INFORMATION OBTAINED THROUGH USE OF THE SITE </t>
  </si>
  <si>
    <t xml:space="preserve">1. MIT does not guarantee or warrant that files available for downloading from the Internet or the Site will be free of viruses or other destructive code. NEITHER MIT NOR ANY PERSON ASSOCIATED </t>
  </si>
  <si>
    <t xml:space="preserve">WITH MIT OR CBI MAKES ANY WARRANTY OR REPRESENTATION WITH RESPECT TO THE SECURITY, RELIABILITY, QUALITY, OR AVAILABILITY OF THE SITE AND THE CONTENT. MIT </t>
  </si>
  <si>
    <t xml:space="preserve">WILL NOT BE LIABLE FOR ANY LOSS OR DAMAGE CAUSED BY A DISTRIBUTED DENIAL-OF-SERVICE ATTACK, VIRUSES OR OTHER TECHNOLOGICALLY HARMFUL MATERIAL THAT MAY </t>
  </si>
  <si>
    <t xml:space="preserve">INFECT YOUR COMPUTER EQUIPMENT, COMPUTER PROGRAMS, DATA OR OTHER PROPRIETARY MATERIAL DUE TO YOUR USE OF THE SITE, THE CONTENT, YOUR DOWNLOADING </t>
  </si>
  <si>
    <t>OF ANY AVAILABLE CONTENT, OR YOUR USE OF ANY WEBSITE LINKED TO THE SITE.</t>
  </si>
  <si>
    <t>1. IN NO EVENT WILL MIT, ITSTRUSTEES, DIRECTORS, OFFICERS, FACULTY, STUDENTS, EMPLOYEES, AGENTS, AFFILIATES AND THEIR RESPECTIVE SUCCESSORS, HEIRS AND</t>
  </si>
  <si>
    <t xml:space="preserve"> ASSIGNS BE LIABLE FOR DAMAGES OF ANY KIND, UNDER ANY LEGAL THEORY, ARISING OUT OF OR IN CONNECTION WITH YOUR USE, OR INABILITY TO USE, THE SITE, THE CONTENT, </t>
  </si>
  <si>
    <t xml:space="preserve">ANY WEBSITES LINKED TO THE SITE OR CONTENT OR ANY INFORMATION OBTAINED THROUGH THE SITE, CONTENT OR SUCH THIRD PARTY WEBSITES, INCLUDING ANY DIRECT, INDIRECT, </t>
  </si>
  <si>
    <t xml:space="preserve">SPECIAL, INCIDENTAL, CONSEQUENTIAL OR PUNITIVE DAMAGES, WHICH MAY INCLUDE  BUT NOT BE LIMITED TO, PERSONAL INJURY, LOST PROFITS, LOSS OF BUSINESS OR ANTICIPATED </t>
  </si>
  <si>
    <t>SAVINGS, LOSS OF GOODWILL, LOSS OF DATA, AND WHETHER CAUSED BY TORT (INCLUDING NEGLIGENCE), BREACH OF CONTRACT OR OTHERWISE, EVEN IF FORSEEABLE.</t>
  </si>
  <si>
    <t xml:space="preserve">To the fullest extent permitted by law, you shall indemnify MIT and all of its trustees, directors, officers, faculty, students, employees, agents, affiliates and their respective </t>
  </si>
  <si>
    <t>successors, heirs and assigns (collectively, the “Indemnified Parties”) from and against any and all losses and liabilities, including, without limitation, reasonable</t>
  </si>
  <si>
    <t xml:space="preserve"> attorneys’ fees incurred by the Indemnified Parties in connection with any claim arising from or related to your breach of these Terms of Use, your use of the Site and the </t>
  </si>
  <si>
    <t>Content and your use of any information obtained through use of the Site and Content. You shall cooperate as fully as reasonably required in the defense of any such claim.</t>
  </si>
  <si>
    <t xml:space="preserve">MIT has the right to: (a) take appropriate legal action, including without limitation, referral to law enforcement, for any illegal or unauthorized use of the Site and </t>
  </si>
  <si>
    <t>(b) terminate your access to all or part of the Site for any or no reason, including without limitation any violation of these Terms of Use.</t>
  </si>
  <si>
    <t xml:space="preserve">You understand that MIT does not provide customer assistance or technical support for use of the Site. You may contact us concerning technical problems but MIT is </t>
  </si>
  <si>
    <t>under no obligation to fix or correct any technical issue.</t>
  </si>
  <si>
    <t xml:space="preserve">If the Site contains links to other websites and resources provided by or hosted by third parties, these links are provided for your convenience only. MIT has no control </t>
  </si>
  <si>
    <t xml:space="preserve">over the contents of those websites or resources and accepts no responsibility for them or for any loss or damage that may arise from your use of them. If you </t>
  </si>
  <si>
    <t>decide to access any of the third party websites linked to the Site, you do so entirely at your own risk and subject to the terms and conditions of use for such websites.</t>
  </si>
  <si>
    <t xml:space="preserve">The Site is operated by MIT from Cambridge, Massachusetts in the United States of America. Content is not intended for distribution to, or use by, any person or </t>
  </si>
  <si>
    <t xml:space="preserve">entity in any jurisdiction or country where such distribution or use would be contrary to law or regulation or which would subject MIT to any registration or </t>
  </si>
  <si>
    <t>other requirement within such jurisdiction or country. MIT reserves the right to limit access or availability of the Site to any person, geographic region or jurisdiction.</t>
  </si>
  <si>
    <t xml:space="preserve">The parties shall settle any dispute arising out of or relating to these Terms of Use or your use of the Site by arbitration in the city of Boston, Massachusetts, USA, </t>
  </si>
  <si>
    <t>in accordance with the applicable rules of the American Arbitration Association then in effect. The arbitrator’s award shall be final and may be confirmed by the</t>
  </si>
  <si>
    <t xml:space="preserve"> judgment of a state or federal court in the city of Boston, Massachusetts.</t>
  </si>
  <si>
    <t>These Terms of Use and all disputes or controversies arising out of or relating to these Terms of Use and your use of the Site and the Content shall be governed</t>
  </si>
  <si>
    <t xml:space="preserve"> by, and construed in accordance with, the laws of the Commonwealth of Massachusetts without regard to conflicts of law provisions that would require </t>
  </si>
  <si>
    <t>the laws of another jurisdiction to apply.</t>
  </si>
  <si>
    <t xml:space="preserve">ANY CAUSE OF ACTION OR CLAIM YOU MAY HAVE ARISING OUT OF OR RELATING TO THESE TERMS OF USE OR THE SITE OR THE CONTENT MUST </t>
  </si>
  <si>
    <t>BE COMMENCED WITHIN ONE (1) YEAR AFTER THE CAUSE OF ACTION ACCRUES, OTHERWISE SUCH CAUSE OF ACTION OR CLAIM IS PERMANENTLY BARRED.</t>
  </si>
  <si>
    <t xml:space="preserve">No waiver of these Terms of Use by MIT shall be deemed a further or continuing waiver of such term or condition or any other term or condition, and any failure </t>
  </si>
  <si>
    <t xml:space="preserve">of MIT to assert a right or provision under these Terms of Use shall not constitute a waiver of such right or provision.  If any provision of these Terms of Use </t>
  </si>
  <si>
    <t xml:space="preserve">is held by a court of competent jurisdiction to be invalid, illegal or unenforceable for any reason, such provision shall be eliminated or limited to the minimum </t>
  </si>
  <si>
    <t>extent such that the remaining provisions of the Terms of Use will continue in full force and effect.</t>
  </si>
  <si>
    <t xml:space="preserve">1. The Site is operated by the FoCUS Project within CBI at MIT.  All technical issues or questions may be directed to newdigs@mit.edu, </t>
  </si>
  <si>
    <t>provided that MIT is under no obligation to respond to your email or make any requested fix.</t>
  </si>
  <si>
    <t xml:space="preserve">2. ​All other feedback and comments concerning the Site and the Content, or other general inquiries related to CBI, NEWDIGS </t>
  </si>
  <si>
    <t>or FoCUS should be directed to newdigs@mit.edu.</t>
  </si>
  <si>
    <t xml:space="preserve">PROPERLY ATTRIBUTE SUCH CONTENT TO MIT. FOR THE SAKE OF CLARITY, PROPER ATTRIBUTION INCLUDES THE REPRODUCTION OF ALL </t>
  </si>
  <si>
    <t xml:space="preserve">COPYRIGHT NOTICES. YOU MAY NOT SELL THE AVAILABLE CONTENT OR OTHERWISE DISTRIBUTE IT FOR A FEE. YOU WILL NOT USE OR </t>
  </si>
  <si>
    <t xml:space="preserve">DISCLOSE THE AVAILABLE CONTENT TO ANY THIRD PARTIES EXCEPT AS EXPRESSLY PERMITTED BY THESE TERMS OF USE. ANY </t>
  </si>
  <si>
    <t>PERMISSION TO USE AVAILABLE CONTENT IS REVOCABLE BY MIT AT ITS SOLE DISCRETION AT ANY TIME UPON NOTICE FROM MIT.</t>
  </si>
  <si>
    <t xml:space="preserve">AND THE CONTENT ARE PROVIDED ON AN “AS IS” AND “AS AVAILABLE” BASIS, WITHOUT ANY WARRANTIES OF ANY KIND, EITHER EXPRESS OR IMPLIED, STATUTORY OR </t>
  </si>
  <si>
    <t xml:space="preserve">OTHERWISE, INCLUDING BUT NOT LIMITED TO ANY WARRANTIES OF MERCHANTABILITY, NON-INFRINGEMENT AND FITNESS FOR A PARTICULAR PURPOSE. WITHOUT LIMITING </t>
  </si>
  <si>
    <t xml:space="preserve">THE FOREGOING, MIT MAKES NO WARRANTY THAT: (a) THE SITE OR THE CONTENT IS ACCURATE, COMPLETE, USEFUL FOR A PARTICULAR PURPOSE OR UP-TO-DATE OR (b) </t>
  </si>
  <si>
    <t xml:space="preserve">THAT THE INFORMATION THAT MAY BE OBTAINED FROM THE USE OF THE SITE OR CONTENT WILL BE ACCURATE, RELIABLE OR OTHEREWISE MEET YOUR NEEDS OR </t>
  </si>
  <si>
    <t xml:space="preserve">EXPECTATIONS. YOUR USE OF, AND RELIANCE ON, THE SITE, THE CONTENT, AND/OR ANY INFORMATION BASED UPON USE OF THE CONTENT IS STRICTLY AT YOUR OWN RISK. </t>
  </si>
  <si>
    <t xml:space="preserve">MIT shall not be responsible or liable for your use of the Site, the Content, and/or any information based upon your use of the Content. This Site and the Content are not a substitute for your or your entity’s </t>
  </si>
  <si>
    <t>own decision-making.</t>
  </si>
  <si>
    <t>It lays out a) the estimated cost of therapy in aggregate and PMPM by year, b) the "likely maximum cost" given confidence intervals, and c) the cost of treating one patient (important for smaller plans infrequently having a patient).</t>
  </si>
  <si>
    <t>Estimated TREATED Population</t>
  </si>
  <si>
    <t>The "Likely Maximum Cost"</t>
  </si>
  <si>
    <t>This section pulls in therapy information from your work on the Population Estimator Tool page.  If the indication you are interested in is not represented in the drop-down menus, you may enter your target indication below in the orange cells.</t>
  </si>
  <si>
    <t>PAYING FOR CURES TOOLKIT AND MATERIALS</t>
  </si>
  <si>
    <t>The Therapy Impact Modeling Tool illustrates the annual estimated PMPM for the indication, the expected likely maximum cost that the plan could experience, and the cost if a plan has one patient</t>
  </si>
  <si>
    <t xml:space="preserve">(for ultra-rare therapies, small plans statistically will likely have either no or one patient, though which of the two scenarios will transpire is difficult to predict).  Based on this, you can assess whether </t>
  </si>
  <si>
    <t>your plan is likely to be able to manage the actuarial uncertainty associated with the potential number of patients and the cost of the medicine in the timeframe they are expected.</t>
  </si>
  <si>
    <t xml:space="preserve">Based on the expected number of patients for the indication, and insights from the Therapy Impact Modeling Tool’s annual estimated PMPM for the indication, expected likely maximum cost that the plan </t>
  </si>
  <si>
    <t>could experience, and cost for one patient, you can assess whether your plan is likely to be able to manage the financial impact of the medicine in the timeframe it is expected.</t>
  </si>
  <si>
    <t>Based on your selections the team's estimate of total clinically-relevant US incidence and prevalence will populate.</t>
  </si>
  <si>
    <t xml:space="preserve">MIT NEWDIGS FoCUS undertook a pipeline analysis to determine the scale of the financing challenge of </t>
  </si>
  <si>
    <t>Aging</t>
  </si>
  <si>
    <t>Amyloidosis, transthyretin-related hereditary</t>
  </si>
  <si>
    <t>Cancer, biliary</t>
  </si>
  <si>
    <t>Cancer, lymphoma, NK/T-cell</t>
  </si>
  <si>
    <t>Cancer, urothelial</t>
  </si>
  <si>
    <t>Charcot-Marie-Tooth disease</t>
  </si>
  <si>
    <t>Cystinosis, unspecified</t>
  </si>
  <si>
    <t>Dementia, frontotemporal</t>
  </si>
  <si>
    <t>Epidermolysis bullosa, junctional</t>
  </si>
  <si>
    <t>Huntington's disease</t>
  </si>
  <si>
    <t>Hyperphenylalaninaemia</t>
  </si>
  <si>
    <t>Ichthyosis</t>
  </si>
  <si>
    <t>Pemphigus</t>
  </si>
  <si>
    <t>POEMS syndrome</t>
  </si>
  <si>
    <t>Pyruvate kinase deficiency</t>
  </si>
  <si>
    <t>Sickle cell disease</t>
  </si>
  <si>
    <t>Xerostomia</t>
  </si>
  <si>
    <t>CNGA3</t>
  </si>
  <si>
    <t>CNGB3</t>
  </si>
  <si>
    <t>ABCD1</t>
  </si>
  <si>
    <t>APOE4</t>
  </si>
  <si>
    <t>TTR</t>
  </si>
  <si>
    <t>FANCA</t>
  </si>
  <si>
    <t>VEGF</t>
  </si>
  <si>
    <t>AADC</t>
  </si>
  <si>
    <t>IL-10</t>
  </si>
  <si>
    <t>IL-1Ra</t>
  </si>
  <si>
    <t>TGFB1</t>
  </si>
  <si>
    <t>CLN2</t>
  </si>
  <si>
    <t>CLN3</t>
  </si>
  <si>
    <t>HPV16-E7</t>
  </si>
  <si>
    <t>Mesothelin</t>
  </si>
  <si>
    <t>MUC1</t>
  </si>
  <si>
    <t>HER2</t>
  </si>
  <si>
    <t>CD123</t>
  </si>
  <si>
    <t>IL13Ra2</t>
  </si>
  <si>
    <t>CEA</t>
  </si>
  <si>
    <t>huMNC+CD44</t>
  </si>
  <si>
    <t>MAGE-A4</t>
  </si>
  <si>
    <t>NY-ESO-1</t>
  </si>
  <si>
    <t>PRAME</t>
  </si>
  <si>
    <t>PSMA</t>
  </si>
  <si>
    <t>SSX2</t>
  </si>
  <si>
    <t>Survivin</t>
  </si>
  <si>
    <t>GD2</t>
  </si>
  <si>
    <t>B7H3</t>
  </si>
  <si>
    <t>EGFR</t>
  </si>
  <si>
    <t>NKG2D</t>
  </si>
  <si>
    <t>NK</t>
  </si>
  <si>
    <t>WT-1</t>
  </si>
  <si>
    <t>CD19+CD28+CD3zeta</t>
  </si>
  <si>
    <t>C7R+GD2</t>
  </si>
  <si>
    <t>MAGE-A4+MAGE-A8</t>
  </si>
  <si>
    <t>MAGE-C2</t>
  </si>
  <si>
    <t>BCMA</t>
  </si>
  <si>
    <t>CD19</t>
  </si>
  <si>
    <t>CD19+BCMA</t>
  </si>
  <si>
    <t>CD19+CD20</t>
  </si>
  <si>
    <t>CD19+CD20+CD22</t>
  </si>
  <si>
    <t>CD19+CD22</t>
  </si>
  <si>
    <t>CD20</t>
  </si>
  <si>
    <t>CD22</t>
  </si>
  <si>
    <t>HA-1</t>
  </si>
  <si>
    <t>CD33</t>
  </si>
  <si>
    <t>CD38</t>
  </si>
  <si>
    <t>CD7</t>
  </si>
  <si>
    <t>CLL-1</t>
  </si>
  <si>
    <t>CD28</t>
  </si>
  <si>
    <t>CD30</t>
  </si>
  <si>
    <t>CD4</t>
  </si>
  <si>
    <t>CD5+CD28</t>
  </si>
  <si>
    <t>AFP</t>
  </si>
  <si>
    <t>GPC3</t>
  </si>
  <si>
    <t>HBV</t>
  </si>
  <si>
    <t>MAGE-A1</t>
  </si>
  <si>
    <t>Neoantigen</t>
  </si>
  <si>
    <t>CD20+CD22</t>
  </si>
  <si>
    <t>CD37</t>
  </si>
  <si>
    <t>CD70</t>
  </si>
  <si>
    <t>TRBC1</t>
  </si>
  <si>
    <t>CXCR2+NGFR</t>
  </si>
  <si>
    <t>FBP</t>
  </si>
  <si>
    <t>SLC45a2</t>
  </si>
  <si>
    <t>Tyrosinase</t>
  </si>
  <si>
    <t>CD138</t>
  </si>
  <si>
    <t>CS1</t>
  </si>
  <si>
    <t>GPRC5D</t>
  </si>
  <si>
    <t>SLAMF7</t>
  </si>
  <si>
    <t>EBV</t>
  </si>
  <si>
    <t>CD171</t>
  </si>
  <si>
    <t>PSCA</t>
  </si>
  <si>
    <t>HERV-E</t>
  </si>
  <si>
    <t>CLDN6</t>
  </si>
  <si>
    <t>COL6A3</t>
  </si>
  <si>
    <t>HPV16</t>
  </si>
  <si>
    <t>HPV-16+E6</t>
  </si>
  <si>
    <t>HPV-18+E7</t>
  </si>
  <si>
    <t>MAGE-A3</t>
  </si>
  <si>
    <t>MUC16</t>
  </si>
  <si>
    <t>MXRA5</t>
  </si>
  <si>
    <t>Non-identified+antigen</t>
  </si>
  <si>
    <t>PD-L1</t>
  </si>
  <si>
    <t>ICAM1</t>
  </si>
  <si>
    <t>CHM+REP1</t>
  </si>
  <si>
    <t>UGT1A1</t>
  </si>
  <si>
    <t>CTNS</t>
  </si>
  <si>
    <t>GRN</t>
  </si>
  <si>
    <t>Dystrophin</t>
  </si>
  <si>
    <t>DYSF</t>
  </si>
  <si>
    <t>SGCB</t>
  </si>
  <si>
    <t>COL7A1</t>
  </si>
  <si>
    <t>GLA</t>
  </si>
  <si>
    <t>GBA</t>
  </si>
  <si>
    <t>G6PC</t>
  </si>
  <si>
    <t>GAA</t>
  </si>
  <si>
    <t>T35D</t>
  </si>
  <si>
    <t>HTT</t>
  </si>
  <si>
    <t>PAH</t>
  </si>
  <si>
    <t>TGM1</t>
  </si>
  <si>
    <t>HGF</t>
  </si>
  <si>
    <t>CEP290</t>
  </si>
  <si>
    <t>RPE65</t>
  </si>
  <si>
    <t>ND4</t>
  </si>
  <si>
    <t>ITGB2</t>
  </si>
  <si>
    <t>ARSA</t>
  </si>
  <si>
    <t>VEGF-Fc</t>
  </si>
  <si>
    <t>IDUA</t>
  </si>
  <si>
    <t>IDS</t>
  </si>
  <si>
    <t>SGSH</t>
  </si>
  <si>
    <t>ARSB</t>
  </si>
  <si>
    <t>SMN1</t>
  </si>
  <si>
    <t>OTC</t>
  </si>
  <si>
    <t>GDNF</t>
  </si>
  <si>
    <t>DSG3</t>
  </si>
  <si>
    <t>PKLR</t>
  </si>
  <si>
    <t>ChronosFP</t>
  </si>
  <si>
    <t>PDE6B</t>
  </si>
  <si>
    <t>RHO</t>
  </si>
  <si>
    <t>RLBP1</t>
  </si>
  <si>
    <t>RPGR</t>
  </si>
  <si>
    <t>anti-VEGF</t>
  </si>
  <si>
    <t>RS1</t>
  </si>
  <si>
    <t>DCLRE1C</t>
  </si>
  <si>
    <t>BCL11A</t>
  </si>
  <si>
    <t>HBB</t>
  </si>
  <si>
    <t>Y-Globin</t>
  </si>
  <si>
    <t>WAS</t>
  </si>
  <si>
    <t>COL3A1</t>
  </si>
  <si>
    <t>AQP1</t>
  </si>
  <si>
    <t>Adrenal insufficiency, primary, congenital</t>
  </si>
  <si>
    <t>Angelman syndrome</t>
  </si>
  <si>
    <t>Ataxia, Friedreich's</t>
  </si>
  <si>
    <t>Ataxia, spinocerebellar</t>
  </si>
  <si>
    <t>Atrophy, spinobulbar muscular</t>
  </si>
  <si>
    <t>Bardet-Biedl syndrome</t>
  </si>
  <si>
    <t>Bietti's crystalline dystrophy</t>
  </si>
  <si>
    <t>Canavan disease</t>
  </si>
  <si>
    <t>Cardiomyopathy, dilated</t>
  </si>
  <si>
    <t>CDKL5 deficiency</t>
  </si>
  <si>
    <t>Cystic fibrosis</t>
  </si>
  <si>
    <t>Danon disease</t>
  </si>
  <si>
    <t>Dementia, Lewy body</t>
  </si>
  <si>
    <t>Diabetes, Type 2</t>
  </si>
  <si>
    <t>Dystrophy, congenital muscular</t>
  </si>
  <si>
    <t>Epilepsy, unspecified</t>
  </si>
  <si>
    <t>Fragile-X syndrome</t>
  </si>
  <si>
    <t>GM1 gangliosidosis</t>
  </si>
  <si>
    <t>Haemolytic uraemic syndrome</t>
  </si>
  <si>
    <t>Hepatic dysfunction, alpha-1 antitrypsin deficiency related</t>
  </si>
  <si>
    <t>Hepatic dysfunction, primary hyperoxaluria, Type 1</t>
  </si>
  <si>
    <t>Immune dysregulation, polyendocrinopathy, X-linked syndrome</t>
  </si>
  <si>
    <t>Ischaemia, cerebral</t>
  </si>
  <si>
    <t>Leukodystrophy, globoid cell</t>
  </si>
  <si>
    <t>Lupus erythematosus, systemic</t>
  </si>
  <si>
    <t>Macular degeneration, Best vitelliform</t>
  </si>
  <si>
    <t>Macular degeneration, juvenile, Stargardt's Disease</t>
  </si>
  <si>
    <t>Menkes disease</t>
  </si>
  <si>
    <t>Methylmalonic acidaemia</t>
  </si>
  <si>
    <t>Multiple sclerosis, unspecified</t>
  </si>
  <si>
    <t>Multiple system atrophy</t>
  </si>
  <si>
    <t>Niemann-Pick disease</t>
  </si>
  <si>
    <t>Osteopetrosis</t>
  </si>
  <si>
    <t>Paroxysmal nocturnal haemoglobinuria</t>
  </si>
  <si>
    <t>Progressive familial intrahepatic cholestasis</t>
  </si>
  <si>
    <t>Progressive supranuclear palsy</t>
  </si>
  <si>
    <t>Rett Syndrome</t>
  </si>
  <si>
    <t>Transplant rejection, organ</t>
  </si>
  <si>
    <t>Traumatic brain injury</t>
  </si>
  <si>
    <t>Usher syndrome</t>
  </si>
  <si>
    <t>Wilson's disease</t>
  </si>
  <si>
    <t>CYP21A2</t>
  </si>
  <si>
    <t>CYP46A1</t>
  </si>
  <si>
    <t>CAR-Treg</t>
  </si>
  <si>
    <t>FXN</t>
  </si>
  <si>
    <t>NR2E3</t>
  </si>
  <si>
    <t>ASPA</t>
  </si>
  <si>
    <t>CFTR</t>
  </si>
  <si>
    <t>FKRP</t>
  </si>
  <si>
    <t>GLB1</t>
  </si>
  <si>
    <t>ND1</t>
  </si>
  <si>
    <t>GALC</t>
  </si>
  <si>
    <t>RORA</t>
  </si>
  <si>
    <t>ABCA4</t>
  </si>
  <si>
    <t>MMUT</t>
  </si>
  <si>
    <t>GBA1</t>
  </si>
  <si>
    <t>MECP2</t>
  </si>
  <si>
    <t>ATP7B</t>
  </si>
  <si>
    <t>Max Incidence</t>
  </si>
  <si>
    <t>Max Prevalence</t>
  </si>
  <si>
    <t>Adopt Incidence</t>
  </si>
  <si>
    <t>Adopt Prevalence</t>
  </si>
  <si>
    <t>Calc Incidence</t>
  </si>
  <si>
    <t>Calc Prevalence</t>
  </si>
  <si>
    <t>Selection</t>
  </si>
  <si>
    <t>Achromatopsia#CNGA3</t>
  </si>
  <si>
    <t>Achromatopsia#CNGB3</t>
  </si>
  <si>
    <t>Adrenal insufficiency, primary, congenital#CYP21A2</t>
  </si>
  <si>
    <t>Adrenoleukodystrophy#ABCD1</t>
  </si>
  <si>
    <t>Alzheimer's disease#APOE4</t>
  </si>
  <si>
    <t>Amyloidosis, transthyretin-related hereditary#TTR</t>
  </si>
  <si>
    <t>Anaemia, aplastic, Fanconi's#FANCA</t>
  </si>
  <si>
    <t>Angina, pectoris#VEGF</t>
  </si>
  <si>
    <t>Arthritis, osteo#IL-10</t>
  </si>
  <si>
    <t>Arthritis, osteo#IL-1Ra</t>
  </si>
  <si>
    <t>Arthritis, osteo#TGFB1</t>
  </si>
  <si>
    <t>Ataxia, Friedreich's#FXN</t>
  </si>
  <si>
    <t>Cancer, anal#HPV16-E7</t>
  </si>
  <si>
    <t>Cancer, biliary#Mesothelin</t>
  </si>
  <si>
    <t>Cancer, bladder#HER2</t>
  </si>
  <si>
    <t>Cancer, BPDCN#CD123</t>
  </si>
  <si>
    <t>Cancer, brain#HER2</t>
  </si>
  <si>
    <t>Cancer, brain#IL13Ra2</t>
  </si>
  <si>
    <t>Cancer, breast#HER2</t>
  </si>
  <si>
    <t>Cancer, breast#huMNC+CD44</t>
  </si>
  <si>
    <t>Cancer, breast#Mesothelin</t>
  </si>
  <si>
    <t>Cancer, breast#MUC1</t>
  </si>
  <si>
    <t>Cancer, breast#NY-ESO-1</t>
  </si>
  <si>
    <t>Cancer, breast#PSMA</t>
  </si>
  <si>
    <t>Cancer, CNS#B7H3</t>
  </si>
  <si>
    <t>Cancer, CNS#EGFR</t>
  </si>
  <si>
    <t>Cancer, CNS#HER2</t>
  </si>
  <si>
    <t>Cancer, colorectal#CEA</t>
  </si>
  <si>
    <t>Cancer, colorectal#HER2</t>
  </si>
  <si>
    <t>Cancer, colorectal#NKG2D</t>
  </si>
  <si>
    <t>Cancer, colorectal#PSMA</t>
  </si>
  <si>
    <t>Cancer, fallopian tube#NK</t>
  </si>
  <si>
    <t>Cancer, fallopian tube#NY-ESO-1</t>
  </si>
  <si>
    <t>Cancer, fallopian tube#WT-1</t>
  </si>
  <si>
    <t>Cancer, glioblastoma#B7H3</t>
  </si>
  <si>
    <t>Cancer, glioblastoma#CD19+CD28+CD3zeta</t>
  </si>
  <si>
    <t>Cancer, glioblastoma#EGFR</t>
  </si>
  <si>
    <t>Cancer, glioblastoma#HER2</t>
  </si>
  <si>
    <t>Cancer, glioblastoma#IL13Ra2</t>
  </si>
  <si>
    <t>Cancer, glioma#B7H3</t>
  </si>
  <si>
    <t>Cancer, glioma#C7R+GD2</t>
  </si>
  <si>
    <t>Cancer, glioma#CD19+CD28+CD3zeta</t>
  </si>
  <si>
    <t>Cancer, glioma#GD2</t>
  </si>
  <si>
    <t>Cancer, glioma#HER2</t>
  </si>
  <si>
    <t>Cancer, glioma#IL13Ra2</t>
  </si>
  <si>
    <t>Cancer, head and neck#HER2</t>
  </si>
  <si>
    <t>Cancer, head and neck#MAGE-A4</t>
  </si>
  <si>
    <t>Cancer, head and neck#MAGE-A4+MAGE-A8</t>
  </si>
  <si>
    <t>Cancer, head and neck#MAGE-C2</t>
  </si>
  <si>
    <t>Cancer, leukaemia, acute lymphocytic#CD123</t>
  </si>
  <si>
    <t>Cancer, leukaemia, acute lymphocytic#CD19</t>
  </si>
  <si>
    <t>Cancer, leukaemia, acute lymphocytic#CD19+BCMA</t>
  </si>
  <si>
    <t>Cancer, leukaemia, acute lymphocytic#CD19+CD20</t>
  </si>
  <si>
    <t>Cancer, leukaemia, acute lymphocytic#CD19+CD22</t>
  </si>
  <si>
    <t>Cancer, leukaemia, acute lymphocytic#CD20</t>
  </si>
  <si>
    <t>Cancer, leukaemia, acute lymphocytic#CD22</t>
  </si>
  <si>
    <t>Cancer, leukaemia, acute lymphocytic#HA-1</t>
  </si>
  <si>
    <t>Cancer, leukaemia, acute myelogenous#CD123</t>
  </si>
  <si>
    <t>Cancer, leukaemia, acute myelogenous#CD19</t>
  </si>
  <si>
    <t>Cancer, leukaemia, acute myelogenous#CD33</t>
  </si>
  <si>
    <t>Cancer, leukaemia, acute myelogenous#CLL-1</t>
  </si>
  <si>
    <t>Cancer, leukaemia, acute myelogenous#NKG2D</t>
  </si>
  <si>
    <t>Cancer, leukaemia, acute myelogenous#NY-ESO-1</t>
  </si>
  <si>
    <t>Cancer, leukaemia, acute myelogenous#PRAME</t>
  </si>
  <si>
    <t>Cancer, leukaemia, acute myelogenous#Survivin</t>
  </si>
  <si>
    <t>Cancer, leukaemia, acute myelogenous#WT-1</t>
  </si>
  <si>
    <t>Cancer, leukaemia, chronic lymphocytic#CD19</t>
  </si>
  <si>
    <t>Cancer, leukaemia, chronic lymphocytic#CD19+BCMA</t>
  </si>
  <si>
    <t>Cancer, leukaemia, chronic lymphocytic#CD19+CD20</t>
  </si>
  <si>
    <t>Cancer, leukaemia, chronic lymphocytic#CD19+CD20+CD22</t>
  </si>
  <si>
    <t>Cancer, leukaemia, chronic lymphocytic#CD20</t>
  </si>
  <si>
    <t>Cancer, leukaemia, chronic lymphocytic#CD28</t>
  </si>
  <si>
    <t>Cancer, leukaemia, T-cell#CD4</t>
  </si>
  <si>
    <t>Cancer, leukaemia, T-cell#CD5+CD28</t>
  </si>
  <si>
    <t>Cancer, leukaemia, T-cell#CD7</t>
  </si>
  <si>
    <t>Cancer, liver#AFP</t>
  </si>
  <si>
    <t>Cancer, liver#GPC3</t>
  </si>
  <si>
    <t>Cancer, liver#HBV</t>
  </si>
  <si>
    <t>Cancer, liver#MAGE-A1</t>
  </si>
  <si>
    <t>Cancer, lung, non-small cell#MAGE-A1</t>
  </si>
  <si>
    <t>Cancer, lung, non-small cell#MAGE-A4</t>
  </si>
  <si>
    <t>Cancer, lung, non-small cell#MAGE-A4+MAGE-A8</t>
  </si>
  <si>
    <t>Cancer, lung, non-small cell#Mesothelin</t>
  </si>
  <si>
    <t>Cancer, lung, non-small cell#MUC1</t>
  </si>
  <si>
    <t>Cancer, lung, non-small cell#Neoantigen</t>
  </si>
  <si>
    <t>Cancer, lung, non-small cell#NY-ESO-1</t>
  </si>
  <si>
    <t>Cancer, lung, non-small cell#PSMA</t>
  </si>
  <si>
    <t>Cancer, lymphoma, B-cell#CD19</t>
  </si>
  <si>
    <t>Cancer, lymphoma, B-cell#CD20</t>
  </si>
  <si>
    <t>Cancer, lymphoma, B-cell#CD20+CD22</t>
  </si>
  <si>
    <t>Cancer, lymphoma, B-cell#CD22</t>
  </si>
  <si>
    <t>Cancer, lymphoma, B-cell#CD28</t>
  </si>
  <si>
    <t>Cancer, lymphoma, B-cell#CD30</t>
  </si>
  <si>
    <t>Cancer, lymphoma, B-cell#CD37</t>
  </si>
  <si>
    <t>Cancer, lymphoma, B-cell, diffuse large#CD19</t>
  </si>
  <si>
    <t>Cancer, lymphoma, B-cell, diffuse large#CD19+CD20</t>
  </si>
  <si>
    <t>Cancer, lymphoma, B-cell, diffuse large#CD20</t>
  </si>
  <si>
    <t>Cancer, lymphoma, B-cell, diffuse large#CD30</t>
  </si>
  <si>
    <t>Cancer, lymphoma, Hodgkin's#CD30</t>
  </si>
  <si>
    <t>Cancer, lymphoma, NK/T-cell#CD30</t>
  </si>
  <si>
    <t>Cancer, lymphoma, T-cell#CD30</t>
  </si>
  <si>
    <t>Cancer, lymphoma, T-cell#CD37</t>
  </si>
  <si>
    <t>Cancer, lymphoma, T-cell#CD4</t>
  </si>
  <si>
    <t>Cancer, lymphoma, T-cell#CD5+CD28</t>
  </si>
  <si>
    <t>Cancer, lymphoma, T-cell#CD7</t>
  </si>
  <si>
    <t>Cancer, lymphoma, T-cell#CD70</t>
  </si>
  <si>
    <t>Cancer, lymphoma, T-cell#TRBC1</t>
  </si>
  <si>
    <t>Cancer, melanoma#CXCR2+NGFR</t>
  </si>
  <si>
    <t>Cancer, melanoma#FBP</t>
  </si>
  <si>
    <t>Cancer, melanoma#IL13Ra2</t>
  </si>
  <si>
    <t>Cancer, melanoma#MAGE-A4</t>
  </si>
  <si>
    <t>Cancer, melanoma#MAGE-C2</t>
  </si>
  <si>
    <t>Cancer, melanoma#Neoantigen</t>
  </si>
  <si>
    <t>Cancer, melanoma#SLC45a2</t>
  </si>
  <si>
    <t>Cancer, melanoma#Tyrosinase</t>
  </si>
  <si>
    <t>Cancer, mesothelioma#Mesothelin</t>
  </si>
  <si>
    <t>Cancer, myeloma#BCMA</t>
  </si>
  <si>
    <t>Cancer, myeloma#CD138</t>
  </si>
  <si>
    <t>Cancer, myeloma#CD28</t>
  </si>
  <si>
    <t>Cancer, myeloma#CD38</t>
  </si>
  <si>
    <t>Cancer, myeloma#CS1</t>
  </si>
  <si>
    <t>Cancer, myeloma#GPRC5D</t>
  </si>
  <si>
    <t>Cancer, myeloma#MAGE-A4</t>
  </si>
  <si>
    <t>Cancer, myeloma#MUC1</t>
  </si>
  <si>
    <t>Cancer, myeloma#NY-ESO-1</t>
  </si>
  <si>
    <t>Cancer, myeloma#PRAME</t>
  </si>
  <si>
    <t>Cancer, myeloma#SLAMF7</t>
  </si>
  <si>
    <t>Cancer, myeloma#SSX2</t>
  </si>
  <si>
    <t>Cancer, myeloma#Survivin</t>
  </si>
  <si>
    <t>Cancer, nasopharyngeal#EBV</t>
  </si>
  <si>
    <t>Cancer, neuroblastoma#C7R+GD2</t>
  </si>
  <si>
    <t>Cancer, neuroblastoma#CD171</t>
  </si>
  <si>
    <t>Cancer, neuroblastoma#GD2</t>
  </si>
  <si>
    <t>Cancer, oesophageal#HER2</t>
  </si>
  <si>
    <t>Cancer, oesophageal#MAGE-A4</t>
  </si>
  <si>
    <t>Cancer, ovarian#MAGE-A4</t>
  </si>
  <si>
    <t>Cancer, ovarian#Mesothelin</t>
  </si>
  <si>
    <t>Cancer, ovarian#MUC1</t>
  </si>
  <si>
    <t>Cancer, ovarian#NK</t>
  </si>
  <si>
    <t>Cancer, ovarian#NY-ESO-1</t>
  </si>
  <si>
    <t>Cancer, pancreatic#CEA</t>
  </si>
  <si>
    <t>Cancer, pancreatic#EGFR</t>
  </si>
  <si>
    <t>Cancer, pancreatic#HER2</t>
  </si>
  <si>
    <t>Cancer, pancreatic#Mesothelin</t>
  </si>
  <si>
    <t>Cancer, pancreatic#MUC1</t>
  </si>
  <si>
    <t>Cancer, peritoneal#NK</t>
  </si>
  <si>
    <t>Cancer, peritoneal#NY-ESO-1</t>
  </si>
  <si>
    <t>Cancer, prostate#PSCA</t>
  </si>
  <si>
    <t>Cancer, prostate#PSMA</t>
  </si>
  <si>
    <t>Cancer, renal#CD70</t>
  </si>
  <si>
    <t>Cancer, renal#HERV-E</t>
  </si>
  <si>
    <t>Cancer, renal#PSMA</t>
  </si>
  <si>
    <t>Cancer, sarcoma, lipo#MAGE-A4</t>
  </si>
  <si>
    <t>Cancer, sarcoma, lipo#NY-ESO-1</t>
  </si>
  <si>
    <t>Cancer, sarcoma, synovial#MAGE-A4</t>
  </si>
  <si>
    <t>Cancer, sarcoma, synovial#NY-ESO-1</t>
  </si>
  <si>
    <t>Cancer, sarcoma, unspecified#HER2</t>
  </si>
  <si>
    <t>Cancer, solid, unspecified#B7H3</t>
  </si>
  <si>
    <t>Cancer, solid, unspecified#CEA</t>
  </si>
  <si>
    <t>Cancer, solid, unspecified#CLDN6</t>
  </si>
  <si>
    <t>Cancer, solid, unspecified#COL6A3</t>
  </si>
  <si>
    <t>Cancer, solid, unspecified#GPC3</t>
  </si>
  <si>
    <t>Cancer, solid, unspecified#HER2</t>
  </si>
  <si>
    <t>Cancer, solid, unspecified#HPV-16+E6</t>
  </si>
  <si>
    <t>Cancer, solid, unspecified#HPV-18+E7</t>
  </si>
  <si>
    <t>Cancer, solid, unspecified#MAGE-A1</t>
  </si>
  <si>
    <t>Cancer, solid, unspecified#MAGE-A3</t>
  </si>
  <si>
    <t>Cancer, solid, unspecified#MAGE-A4</t>
  </si>
  <si>
    <t>Cancer, solid, unspecified#MAGE-A4+MAGE-A8</t>
  </si>
  <si>
    <t>Cancer, solid, unspecified#Mesothelin</t>
  </si>
  <si>
    <t>Cancer, solid, unspecified#MUC16</t>
  </si>
  <si>
    <t>Cancer, solid, unspecified#MXRA5</t>
  </si>
  <si>
    <t>Cancer, solid, unspecified#Non-identified+antigen</t>
  </si>
  <si>
    <t>Cancer, solid, unspecified#NY-ESO-1</t>
  </si>
  <si>
    <t>Cancer, solid, unspecified#PD-L1</t>
  </si>
  <si>
    <t>Cancer, solid, unspecified#PRAME</t>
  </si>
  <si>
    <t>Cancer, solid, unspecified#Survivin</t>
  </si>
  <si>
    <t>Cancer, solid, unspecified#WT-1</t>
  </si>
  <si>
    <t>Cancer, stomach#HER2</t>
  </si>
  <si>
    <t>Cancer, stomach#MAGE-A4</t>
  </si>
  <si>
    <t>Cancer, thyroid#ICAM1</t>
  </si>
  <si>
    <t>Cancer, urothelial#MAGE-A4</t>
  </si>
  <si>
    <t>Choroideremia#CHM+REP1</t>
  </si>
  <si>
    <t>Crigler-Najjar syndrome#UGT1A1</t>
  </si>
  <si>
    <t>Cystic fibrosis#CFTR</t>
  </si>
  <si>
    <t>Cystinosis, unspecified#CTNS</t>
  </si>
  <si>
    <t>Dementia, frontotemporal#GRN</t>
  </si>
  <si>
    <t>Dystrophy, Duchenne's muscular#Dystrophin</t>
  </si>
  <si>
    <t>Dystrophy, limb-girdle muscular#DYSF</t>
  </si>
  <si>
    <t>Dystrophy, limb-girdle muscular#FKRP</t>
  </si>
  <si>
    <t>Dystrophy, limb-girdle muscular#SGCB</t>
  </si>
  <si>
    <t>Glycogen storage disease, Type I#G6PC</t>
  </si>
  <si>
    <t>Heart failure#T35D</t>
  </si>
  <si>
    <t>Huntington's disease#CYP46A1</t>
  </si>
  <si>
    <t>Huntington's disease#HTT</t>
  </si>
  <si>
    <t>Hyperphenylalaninaemia#PAH</t>
  </si>
  <si>
    <t>Ichthyosis#TGM1</t>
  </si>
  <si>
    <t>Leber's congenital amaurosis#CEP290</t>
  </si>
  <si>
    <t>Leber's congenital amaurosis#RPE65</t>
  </si>
  <si>
    <t>Leber's hereditary optic neuropathy#ND1</t>
  </si>
  <si>
    <t>Leber's hereditary optic neuropathy#ND4</t>
  </si>
  <si>
    <t>Leukodystrophy, globoid cell#GALC</t>
  </si>
  <si>
    <t>Leukodystrophy, metachromatic#ARSA</t>
  </si>
  <si>
    <t>Macular degeneration, age-related, dry#RORA</t>
  </si>
  <si>
    <t>Macular degeneration, age-related, wet#anti-VEGF</t>
  </si>
  <si>
    <t>Macular degeneration, age-related, wet#VEGF-Fc</t>
  </si>
  <si>
    <t>Macular degeneration, juvenile, Stargardt's Disease#ABCA4</t>
  </si>
  <si>
    <t>Malignant pleural effusion#Mesothelin</t>
  </si>
  <si>
    <t>Myelodysplastic syndrome#CD33</t>
  </si>
  <si>
    <t>Myelodysplastic syndrome#NKG2D</t>
  </si>
  <si>
    <t>Myelodysplastic syndrome#NY-ESO-1</t>
  </si>
  <si>
    <t>Myelodysplastic syndrome#PRAME</t>
  </si>
  <si>
    <t>Myelodysplastic syndrome#Survivin</t>
  </si>
  <si>
    <t>Myelodysplastic syndrome#WT-1</t>
  </si>
  <si>
    <t>Ornithine transcarbamylase deficiency#OTC</t>
  </si>
  <si>
    <t>Parkinson's disease#GBA1</t>
  </si>
  <si>
    <t>Parkinson's disease#GDNF</t>
  </si>
  <si>
    <t>Pemphigus#DSG3</t>
  </si>
  <si>
    <t>Pyruvate kinase deficiency#PKLR</t>
  </si>
  <si>
    <t>Retinitis pigmentosa#ChronosFP</t>
  </si>
  <si>
    <t>Retinitis pigmentosa#PDE6B</t>
  </si>
  <si>
    <t>Retinitis pigmentosa#RHO</t>
  </si>
  <si>
    <t>Retinitis pigmentosa#RLBP1</t>
  </si>
  <si>
    <t>Retinitis pigmentosa#RPE65</t>
  </si>
  <si>
    <t>Retinitis pigmentosa, x-linked#RPGR</t>
  </si>
  <si>
    <t>Retinoschisis, x-linked#RS1</t>
  </si>
  <si>
    <t>Rett Syndrome#MECP2</t>
  </si>
  <si>
    <t>SCID, artemis#DCLRE1C</t>
  </si>
  <si>
    <t>Transplant rejection, organ#CAR-Treg</t>
  </si>
  <si>
    <t>Wilson's disease#ATP7B</t>
  </si>
  <si>
    <t>Wound healing#COL3A1</t>
  </si>
  <si>
    <t>Xerostomia#AQP1</t>
  </si>
  <si>
    <t>Total Incidence</t>
  </si>
  <si>
    <t>Total Prevalence</t>
  </si>
  <si>
    <t>Eligible Incidence</t>
  </si>
  <si>
    <t>Eligible Prevalence</t>
  </si>
  <si>
    <t>Step 1: Please select the relevant indication in the green pull-down menus</t>
  </si>
  <si>
    <t>Therapy Product Cost per Patient</t>
  </si>
  <si>
    <t>Total costs estimate</t>
  </si>
  <si>
    <t>DEFINITIONS:</t>
  </si>
  <si>
    <r>
      <rPr>
        <b/>
        <sz val="11"/>
        <color theme="1"/>
        <rFont val="Calibri"/>
        <family val="2"/>
        <scheme val="minor"/>
      </rPr>
      <t>Indicating a sub population of "All"</t>
    </r>
    <r>
      <rPr>
        <sz val="11"/>
        <color theme="1"/>
        <rFont val="Calibri"/>
        <family val="2"/>
        <scheme val="minor"/>
      </rPr>
      <t xml:space="preserve"> results in the total population with the indicated disease/condition.</t>
    </r>
  </si>
  <si>
    <r>
      <rPr>
        <b/>
        <sz val="11"/>
        <color theme="1"/>
        <rFont val="Calibri"/>
        <family val="2"/>
        <scheme val="minor"/>
      </rPr>
      <t xml:space="preserve">Indication a sub population other than "All" </t>
    </r>
    <r>
      <rPr>
        <sz val="11"/>
        <color theme="1"/>
        <rFont val="Calibri"/>
        <family val="2"/>
        <scheme val="minor"/>
      </rPr>
      <t xml:space="preserve">will provide estimates of incidence and prevalence for the clinically relevant population. </t>
    </r>
  </si>
  <si>
    <t>High Level Estimation Methodology</t>
  </si>
  <si>
    <t>A synthesis of the approach to establish these estimates is found here.         https://payingforcures.mit.edu/toolkit-estimation-methodology/</t>
  </si>
  <si>
    <t xml:space="preserve">durable, potentially curative therapies in the United State that provides the data used in the Payer- Individual Indication Workbook.  </t>
  </si>
  <si>
    <t>US Population - 2020 Census data</t>
  </si>
  <si>
    <t xml:space="preserve"> Population Size Adjustments</t>
  </si>
  <si>
    <t>Questions to consider for modifying use by the treatment eligible population.</t>
  </si>
  <si>
    <t>Plan-specific Incidence</t>
  </si>
  <si>
    <t>Plan-specific prevalence</t>
  </si>
  <si>
    <t xml:space="preserve">This section makes adjustments to reflect that modification of incidence and prevalence within the US population.  </t>
  </si>
  <si>
    <t>Therapy Cost Assumptions</t>
  </si>
  <si>
    <t>Step 1.  Enter therapy costs with optional adjustments</t>
  </si>
  <si>
    <r>
      <t xml:space="preserve">Name of Therapy / Product Name   </t>
    </r>
    <r>
      <rPr>
        <i/>
        <sz val="9"/>
        <color theme="1"/>
        <rFont val="Calibri"/>
        <family val="2"/>
        <scheme val="minor"/>
      </rPr>
      <t>(Optional)</t>
    </r>
  </si>
  <si>
    <t>Contract related adjustments</t>
  </si>
  <si>
    <t>Why does this matter?  Plans cannot always predict how many patients they will have on a particular therapy.  Actuarial volatility makes it harder for a plan to predict what its costs will be and therefore creates greater risk for the plan that the costs will not be covered by its premiums.  The estimate below represents a likely maximum cost in an outlier situation.</t>
  </si>
  <si>
    <t>Select diseases/conditions are more commonly associated with lives covered under Medicare or Medicaid.</t>
  </si>
  <si>
    <t>Payer Type Adjustment</t>
  </si>
  <si>
    <t>Please enter your estimated therapy cost per patient.  See definitions in Column A for details</t>
  </si>
  <si>
    <t>Financial Risk Assessment</t>
  </si>
  <si>
    <r>
      <t>Based on the assessment choices you make, the Solution Prioritization Tool will su</t>
    </r>
    <r>
      <rPr>
        <sz val="11"/>
        <rFont val="Calibri"/>
        <family val="2"/>
        <scheme val="minor"/>
      </rPr>
      <t>ggest preferred financing solutions.</t>
    </r>
  </si>
  <si>
    <t>Results Summary</t>
  </si>
  <si>
    <t>Probability of One Patient for condition</t>
  </si>
  <si>
    <t xml:space="preserve">PMPM Impact of one patient </t>
  </si>
  <si>
    <t xml:space="preserve">Expected Outcome </t>
  </si>
  <si>
    <t xml:space="preserve"> PMPM</t>
  </si>
  <si>
    <r>
      <t xml:space="preserve">              </t>
    </r>
    <r>
      <rPr>
        <sz val="12"/>
        <color theme="0"/>
        <rFont val="Calibri"/>
        <family val="2"/>
        <scheme val="minor"/>
      </rPr>
      <t xml:space="preserve"> x  </t>
    </r>
    <r>
      <rPr>
        <sz val="11"/>
        <color theme="1"/>
        <rFont val="Calibri"/>
        <family val="2"/>
        <scheme val="minor"/>
      </rPr>
      <t xml:space="preserve">   </t>
    </r>
  </si>
  <si>
    <t>The Solution Prioritization Tool is intended as an aide to narrowing the precision financing solutions identified by the FoCUS Consortium for addressing different financing risks.</t>
  </si>
  <si>
    <t xml:space="preserve">Note, that these estimates are based on any additional treatment costs or any cost-offsets from existing therapies or rebates entered into the Therapy Impact Model. </t>
  </si>
  <si>
    <t xml:space="preserve">You may wish to consider evaluation of product alone if uncertainty exists around these cost or cost-offsets in future years.   </t>
  </si>
  <si>
    <t>Real world efficacy and durability are expected to be uncertain for a number of these therapies at the time of initial regulatory approval and market launch.  Your plan may desire</t>
  </si>
  <si>
    <t xml:space="preserve">in the financial tools.  </t>
  </si>
  <si>
    <t>Payer Financial Assessment</t>
  </si>
  <si>
    <t>Needs Determination / Potential Solutions</t>
  </si>
  <si>
    <t xml:space="preserve">Is organization able to manage indication's financial impact with current strategy? </t>
  </si>
  <si>
    <t xml:space="preserve">Does organization desire to address therapeutic performance risk? </t>
  </si>
  <si>
    <t>Assessment recommendations</t>
  </si>
  <si>
    <t>Milestone based agreement (MBA)</t>
  </si>
  <si>
    <t xml:space="preserve">True if Q1 and Q3 = yes </t>
  </si>
  <si>
    <t>Multi-year milestone based agreement</t>
  </si>
  <si>
    <t>MBA with additional finance solution</t>
  </si>
  <si>
    <t>True if Q1 =  no, and Q3 = yes</t>
  </si>
  <si>
    <t>True if Q1 and  Q3 = yes</t>
  </si>
  <si>
    <t>Warranty with additional finance solution</t>
  </si>
  <si>
    <t>Payment over time/installment payments</t>
  </si>
  <si>
    <t>True if Q1 and Q3 = no</t>
  </si>
  <si>
    <t>Performance based annuity</t>
  </si>
  <si>
    <t>True if Q1= No, Q3 = Yes</t>
  </si>
  <si>
    <t>Subscription Model</t>
  </si>
  <si>
    <t>True if Q1 and Q3 = no and Q2= yes</t>
  </si>
  <si>
    <t>Performance based subscription model</t>
  </si>
  <si>
    <t>True if Q1 = no, Q2 and Q3 = Yes</t>
  </si>
  <si>
    <t>Stop-Loss / Reinsurance</t>
  </si>
  <si>
    <t>True if Q1, Q2 and Q3 = No</t>
  </si>
  <si>
    <t>Stop-Loss / Reinsurance w/ MBA or Warranty</t>
  </si>
  <si>
    <t>True if Q1 and Q2 = No, Q3 = Yes</t>
  </si>
  <si>
    <t>Therapy specific risk pools w/ MBA or warranty</t>
  </si>
  <si>
    <t>Medicare Eligible  Incidence %</t>
  </si>
  <si>
    <t>Medicare Eligible  Prevalence %</t>
  </si>
  <si>
    <t>Medicaid Eligible  Incidence %</t>
  </si>
  <si>
    <t>Medicaid Eligible  Prevalence %</t>
  </si>
  <si>
    <t>Other Eligible  Incidence %</t>
  </si>
  <si>
    <t>Other Eligible  Prevalence %</t>
  </si>
  <si>
    <t>Selection for payer types</t>
  </si>
  <si>
    <t>Medicare</t>
  </si>
  <si>
    <t>Medicaid</t>
  </si>
  <si>
    <t>Population Incidence %</t>
  </si>
  <si>
    <t>Population Prevalence %</t>
  </si>
  <si>
    <t>Selected</t>
  </si>
  <si>
    <t>Plan specific incidence and prevalence</t>
  </si>
  <si>
    <t>Not Medicare or Medicaid</t>
  </si>
  <si>
    <t>Price Code</t>
  </si>
  <si>
    <t>Select
Total Incidence = 1
Eligible Incidence = 2</t>
  </si>
  <si>
    <t>General Population</t>
  </si>
  <si>
    <t>Total Cost ($millions)</t>
  </si>
  <si>
    <t xml:space="preserve">Cost of Therapy </t>
  </si>
  <si>
    <t>Population</t>
  </si>
  <si>
    <t>Plan Type</t>
  </si>
  <si>
    <t>Code</t>
  </si>
  <si>
    <t>Incidence column</t>
  </si>
  <si>
    <t>Prevalence column</t>
  </si>
  <si>
    <t xml:space="preserve">Step 2: Customize the tool to reflect payer type </t>
  </si>
  <si>
    <t xml:space="preserve"> Select an Indication</t>
  </si>
  <si>
    <t>Total US
 Incidence Estimate</t>
  </si>
  <si>
    <t>Total US
 Incidence per 100,000</t>
  </si>
  <si>
    <t>Total US
Prevalence per 100,000</t>
  </si>
  <si>
    <t>Adjusted Plan-specific
 Total Incidence</t>
  </si>
  <si>
    <t>Select payer type from green 
pull-down menu below</t>
  </si>
  <si>
    <t xml:space="preserve">  Note - this cell should be filled in with a negative number as rebates and excess loss insurance decrease payer costs. </t>
  </si>
  <si>
    <t>Prevalent Population</t>
  </si>
  <si>
    <t>Step One - Assessment of actuarial, payment timing and performance risks</t>
  </si>
  <si>
    <t xml:space="preserve">Step 2 - Model solutions based on financial assessment </t>
  </si>
  <si>
    <t xml:space="preserve">Step 1 answers for actuarial, payment timing and performance risks should collectively inform your strategy and assessment of the need for new financing solutions. The following three questions are used to suggest potential financial solutions to fit your needs.  Solution requirements of the payer provides a high level assessment of the capabilities/resources needed to implement the financial solution.  </t>
  </si>
  <si>
    <t>Solution Implementation Requirements for Payer</t>
  </si>
  <si>
    <t>Data        collection</t>
  </si>
  <si>
    <t>Developer contract</t>
  </si>
  <si>
    <t>Clinical Coordination</t>
  </si>
  <si>
    <t>Patient      Mobility</t>
  </si>
  <si>
    <t>Provider Contracts</t>
  </si>
  <si>
    <t>Warranty - Stand alone  (note - data collection by OBCA)</t>
  </si>
  <si>
    <t xml:space="preserve">*TBD - Solution requirements depend on the finance solution selected. </t>
  </si>
  <si>
    <r>
      <t xml:space="preserve">It may not be efficient for </t>
    </r>
    <r>
      <rPr>
        <i/>
        <sz val="12"/>
        <color rgb="FF878787"/>
        <rFont val="Calibri"/>
        <family val="2"/>
        <scheme val="minor"/>
      </rPr>
      <t>all</t>
    </r>
    <r>
      <rPr>
        <sz val="12"/>
        <color rgb="FF878787"/>
        <rFont val="Calibri"/>
        <family val="2"/>
        <scheme val="minor"/>
      </rPr>
      <t xml:space="preserve"> payer organizations to build capabilities </t>
    </r>
    <r>
      <rPr>
        <i/>
        <sz val="12"/>
        <color rgb="FF878787"/>
        <rFont val="Calibri"/>
        <family val="2"/>
        <scheme val="minor"/>
      </rPr>
      <t>internally</t>
    </r>
    <r>
      <rPr>
        <sz val="12"/>
        <color rgb="FF878787"/>
        <rFont val="Calibri"/>
        <family val="2"/>
        <scheme val="minor"/>
      </rPr>
      <t xml:space="preserve"> to serve patients treated with durable therapies or to establish their own contracts with treating providers and developers. Market solutions are emerging to efficiently address the required capabilities.  </t>
    </r>
  </si>
  <si>
    <r>
      <t xml:space="preserve">A </t>
    </r>
    <r>
      <rPr>
        <b/>
        <sz val="12"/>
        <color rgb="FF878787"/>
        <rFont val="Calibri"/>
        <family val="2"/>
        <scheme val="minor"/>
      </rPr>
      <t>Supplier Evaluation template</t>
    </r>
    <r>
      <rPr>
        <sz val="12"/>
        <color rgb="FF878787"/>
        <rFont val="Calibri"/>
        <family val="2"/>
        <scheme val="minor"/>
      </rPr>
      <t xml:space="preserve"> has been developed to help a payer evaluate gene and cell therapy service products and the organizations administering them. </t>
    </r>
  </si>
  <si>
    <t>Click here for the template.</t>
  </si>
  <si>
    <t>Treated Prevalent Population</t>
  </si>
  <si>
    <t>Starting Incident Population</t>
  </si>
  <si>
    <t>Treated Incident Population</t>
  </si>
  <si>
    <t>Total Treated Population</t>
  </si>
  <si>
    <t>Below you can see a) the possible cost of therapy in aggregate and PMPM by year (given expected variability), b) the "likely maximum cost" given confidence intervals, and c) the cost of treating one patient (important for smaller plans infrequently having a patient).</t>
  </si>
  <si>
    <t>Freeze to show expected values? Y/N?</t>
  </si>
  <si>
    <t>Volatility Calculation</t>
  </si>
  <si>
    <t>Logic Table 3 -Solution Prioritization</t>
  </si>
  <si>
    <t>Ultra-orphan</t>
  </si>
  <si>
    <t>Orphan</t>
  </si>
  <si>
    <t>High Prevalence</t>
  </si>
  <si>
    <t>CAR-T/TCR</t>
  </si>
  <si>
    <t>Osteoarthritis</t>
  </si>
  <si>
    <t>Therapeutic Category</t>
  </si>
  <si>
    <t>Ultra-Orphan</t>
  </si>
  <si>
    <t>Note: It is recommended to indicate lives within the payer type segment selected in step 2.  "General Population" payer type should be used if analyzing multiple lines of business concurrently.</t>
  </si>
  <si>
    <t>Market Penetration Adjustments</t>
  </si>
  <si>
    <t xml:space="preserve">Payers may wish to make adjustments for the difference between the clinically eligible/relevant TREATABLE population and those that are likely to be TREATED. </t>
  </si>
  <si>
    <t>This workbook is intended to provide a simple model that helps users see how a durable therapy may impact their business and what risks may need to be considered and countered.</t>
  </si>
  <si>
    <t>Uptake/Adoption Curve</t>
  </si>
  <si>
    <t>Step 2.  Estimate the rate of adoption of therapy use for patients likely to be treated</t>
  </si>
  <si>
    <t xml:space="preserve">FoCUS precision financing solutions vary in their ability to address key challenges associated with cell and gene therapies.  </t>
  </si>
  <si>
    <t xml:space="preserve">Blue circles represent the proportion of the associated challenge (payment timing, performance, actuarial risk) addressed by the precision financing solution.  A full blue circle indicates the challenge is fully addressed; an empty circle indicate this solution has not addressed the challenge. </t>
  </si>
  <si>
    <t>If managed Medicaid have to negotiate with KAHA like person to pull it out and contract for it directly</t>
  </si>
  <si>
    <t>Are there carve outs for the expensive drugs</t>
  </si>
  <si>
    <t>financial risk be shared with the developer regarding the product's performance.  Various performance guarantee arrangements between payers and developers have been included</t>
  </si>
  <si>
    <t xml:space="preserve">Are potential patients identifiable (e.g. individuals living with a conditions such as  hemophilia)?  </t>
  </si>
  <si>
    <t>Possible Outcomes - these values will change as Excel recalculates, giving insight into the likely range of actuarial volatility. Recalculate using F9</t>
  </si>
  <si>
    <t>Costs from Pipeline Analysis Model</t>
  </si>
  <si>
    <t>Ophthalmological (genetic)</t>
  </si>
  <si>
    <t>Ophthalmological (non-genetic)</t>
  </si>
  <si>
    <t>D</t>
  </si>
  <si>
    <t>E</t>
  </si>
  <si>
    <t>F</t>
  </si>
  <si>
    <t>G</t>
  </si>
  <si>
    <t>H</t>
  </si>
  <si>
    <t>I</t>
  </si>
  <si>
    <t>J</t>
  </si>
  <si>
    <t>K</t>
  </si>
  <si>
    <t>L</t>
  </si>
  <si>
    <t>M</t>
  </si>
  <si>
    <t>Formula for Menu 2</t>
  </si>
  <si>
    <t>Menu 2 last row</t>
  </si>
  <si>
    <t>Menu 2 column</t>
  </si>
  <si>
    <t>Menu 2 start</t>
  </si>
  <si>
    <t>Menu 2 end</t>
  </si>
  <si>
    <t>Menu 2 array address</t>
  </si>
  <si>
    <t>Menu 3 array address</t>
  </si>
  <si>
    <t>of the Descriminator array</t>
  </si>
  <si>
    <t>First</t>
  </si>
  <si>
    <t>Last</t>
  </si>
  <si>
    <t>Total</t>
  </si>
  <si>
    <t>Life Expectancy</t>
  </si>
  <si>
    <t>Quality of Life</t>
  </si>
  <si>
    <t>Social Cost</t>
  </si>
  <si>
    <t>Therapeutic Options</t>
  </si>
  <si>
    <t>Therapeutic cost (annual)</t>
  </si>
  <si>
    <t>Masjor Symptoms</t>
  </si>
  <si>
    <t>Long Term Comorbidities</t>
  </si>
  <si>
    <t>References</t>
  </si>
  <si>
    <t>Scale 1-5</t>
  </si>
  <si>
    <t>Peak %</t>
  </si>
  <si>
    <t xml:space="preserve"> Years to Peak</t>
  </si>
  <si>
    <t>Normal</t>
  </si>
  <si>
    <t>Total color blindness</t>
  </si>
  <si>
    <t>Non-advancing</t>
  </si>
  <si>
    <t>https://medlineplus.gov/genetics/condition/achromatopsia/</t>
  </si>
  <si>
    <t>glucocorticoids and mineralocorticoid replacement.  Fludrocortisone</t>
  </si>
  <si>
    <t>Drugs, $326; total, $7,677</t>
  </si>
  <si>
    <t>Bone advancement, obesity, mental retardation, central precocious puberty</t>
  </si>
  <si>
    <t>https://www.hindawi.com/journals/ijpedi/2018/1739831/</t>
  </si>
  <si>
    <t>https://www.ncbi.nlm.nih.gov/pmc/articles/PMC5686625/</t>
  </si>
  <si>
    <t>https://www.unboundmedicine.com/5minute/view/Select-5-Minute-Pediatric-Consult/14038/all/Primary_Adrenal_Insufficiency</t>
  </si>
  <si>
    <t>Hematopoietic stem cell transplant</t>
  </si>
  <si>
    <t>$409,600 ($892,700)</t>
  </si>
  <si>
    <t>Loss of communication, cortical blindness, tube feeding, total incontinence, wheelchair dependence, complete loss of voluntary movement</t>
  </si>
  <si>
    <t>https://www.orpha.net/consor/cgi-bin/OC_Exp.php?Expert=43#:~:text=X%2DALD%20is%20the%20most,been%20reported%20throughout%20the%20world.</t>
  </si>
  <si>
    <t>Fatal</t>
  </si>
  <si>
    <t>Assumed individual funding</t>
  </si>
  <si>
    <t>Death</t>
  </si>
  <si>
    <t>PiZZ - 60 (15% liver; Smokers)</t>
  </si>
  <si>
    <t>Augmentation therapy</t>
  </si>
  <si>
    <t>Emphasema; Often undiagnosed (10%)
Liver damage (see: Hepatic disfunction,  alpha-1 antitrypsin deficiency related)</t>
  </si>
  <si>
    <t>COPD</t>
  </si>
  <si>
    <t>https://www.ncbi.nlm.nih.gov/pmc/articles/PMC6373584/</t>
  </si>
  <si>
    <t>https://www.unboundmedicine.com/5minute/view/Select-5-Minute-Pediatric-Consult/14002/all/Alpha_1_Antitrypsin_Deficiency</t>
  </si>
  <si>
    <t>https://www.ncbi.nlm.nih.gov/pmc/articles/PMC5780543/</t>
  </si>
  <si>
    <t>https://erj.ersjournals.com/content/50/3/1700198</t>
  </si>
  <si>
    <t>https://www.ajmc.com/view/costs-for-patients-with-alpha1-antitrypsin-form-of-copd-are-higher-study-says#:~:text=However%2C%20the%20annual%20costs%20of,had%20a%20diagnosis%20of%20COPD.</t>
  </si>
  <si>
    <t>Dementia</t>
  </si>
  <si>
    <t>Progressive loss of brain function</t>
  </si>
  <si>
    <t>https://medlineplus.gov/genetics/condition/alzheimer-disease/</t>
  </si>
  <si>
    <t>Onpattro (Patisiran)
Tegsedi (Inotersen) 
Vyndamax/Vyndaqel (Tafamidis)</t>
  </si>
  <si>
    <t>$103,047-$412,188 (20kg-80kg) 
$469,716 
$235,008</t>
  </si>
  <si>
    <t>Amyliod buildup; Neuropathy, Cardiac 60+</t>
  </si>
  <si>
    <t>Cardiac 60+</t>
  </si>
  <si>
    <t>http://www.amyloidosis.org/wp-content/uploads/2017/05/2017-ATTR-guide.pdf</t>
  </si>
  <si>
    <t>https://icer-review.org/wp-content/uploads/2018/02/ICER_Amyloidosis_Final_Evidence_Report_101718.pdf</t>
  </si>
  <si>
    <t>https://rarediseases.info.nih.gov/diseases/656/familial-transthyretin-amyloidosis</t>
  </si>
  <si>
    <t>Palliative
Riluzole (Rilutek)
Edaravone (Radicava)</t>
  </si>
  <si>
    <t>$300-$3,000
$145,500</t>
  </si>
  <si>
    <t>Muscle twitching, cramping, stiffness, or weakness, dysarthria, dysphagia. Progressive muscle weakening.</t>
  </si>
  <si>
    <t>Rapidly degenerative</t>
  </si>
  <si>
    <t>https://medlineplus.gov/genetics/condition/amyotrophic-lateral-sclerosis/</t>
  </si>
  <si>
    <t>Hematopoietic stem cell transplant; 
G-CSF; 
androgens</t>
  </si>
  <si>
    <t xml:space="preserve">$409,600 ($892,700)
</t>
  </si>
  <si>
    <t>Deficient bone marrow; birth defects</t>
  </si>
  <si>
    <t>https://www.milliman.com/en/Insight/2017-US-organ-and-tissue-transplant-cost-estimates-and-discussion</t>
  </si>
  <si>
    <t>https://medlineplus.gov/genetics/condition/fanconi-anemia/</t>
  </si>
  <si>
    <t>https://www.omim.org/entry/227650?search=Anaemia%2C%20aplastic%2C%20Fanconi%27s&amp;highlight=anaemia%20aplastic%20fanconi#populationGenetics</t>
  </si>
  <si>
    <t>Palliative to symptoms</t>
  </si>
  <si>
    <t>$50,000 (Down Syndrome as proxy)</t>
  </si>
  <si>
    <t>Seizures; anxiety, gastrointestinal issues, sleep</t>
  </si>
  <si>
    <t>https://medlineplus.gov/genetics/condition/angelman-syndrome/</t>
  </si>
  <si>
    <t>https://www.ncbi.nlm.nih.gov/pmc/articles/PMC3858577/</t>
  </si>
  <si>
    <t>https://ojrd.biomedcentral.com/articles/10.1186/s13023-017-0716-z</t>
  </si>
  <si>
    <t>https://europepmc.org/article/med/31684986</t>
  </si>
  <si>
    <t>Near normal</t>
  </si>
  <si>
    <t>Nitrates, Beta-blockers, Calcium channel blockers
Angioplasty/stents
CABG</t>
  </si>
  <si>
    <t>Low
$25,845 (5 years - $56,860), 
$123,000-$151,000</t>
  </si>
  <si>
    <t>Chest pain, fatigue, sweating, nausea, dizziness</t>
  </si>
  <si>
    <t>https://heart.bmj.com/content/92/2/177</t>
  </si>
  <si>
    <t>Angioedema, hereditary</t>
  </si>
  <si>
    <t>Cinryze (C1-esterase inhibitor), 
Firazyr (Icatibant - B2 bradykinin receptor antagonist), 
Takhzyro (Lanadelumab - kallikrein inhibitor)</t>
  </si>
  <si>
    <t>$520,200 (prophilactic x 4 days) 
$256,234 (11 attacks annually, 2x3mg per attack)
$617,292 (300mg/bi-weekly)</t>
  </si>
  <si>
    <t>Edema</t>
  </si>
  <si>
    <t>https://www.ajmc.com/view/economic-burden-limiting-proper-healthcare-delivery-management-and-improvement-of-patient-outcomes</t>
  </si>
  <si>
    <t>https://icer-review.org/wp-content/uploads/2018/11/HAE-RAAG_111518.pdf</t>
  </si>
  <si>
    <t>https://www.ncbi.nlm.nih.gov/pmc/articles/PMC6067408/</t>
  </si>
  <si>
    <t>Unclear (often childhood for severe cases)</t>
  </si>
  <si>
    <t>Dopamine agonists, 
MAO-B inhibitors</t>
  </si>
  <si>
    <t>$2,100
$1,932</t>
  </si>
  <si>
    <t>Oculogyric crises, hypotonia, athetosis, lethargy, ptosis</t>
  </si>
  <si>
    <t>https://medlineplus.gov/genetics/condition/aromatic-l-amino-acid-decarboxylase-deficiency/</t>
  </si>
  <si>
    <t>Hyaluronic acid
Platelet rich therapy
Stem cell therapy
Total knee replacement</t>
  </si>
  <si>
    <t>$1,268 first year, $400 p.a after
$500-$2,000
$4,000-$7,500
$20,000-$35,000</t>
  </si>
  <si>
    <t>Knee pain</t>
  </si>
  <si>
    <t>https://health.costhelper.com/knee-replacement.html</t>
  </si>
  <si>
    <t>https://medlineplus.gov/genetics/condition/osteoarthritis/</t>
  </si>
  <si>
    <t>https://josr-online.biomedcentral.com/articles/10.1186/s13018-020-01848-7/tables/3</t>
  </si>
  <si>
    <t>NSAIDs, 
Disease-modifying antirheumatic drugs (DMARDs), 
Immunosuppressants, 
Biologic agents (Humira, Xeljanz, etc.)</t>
  </si>
  <si>
    <t>Low
Low
Low
$71,367, $50,357</t>
  </si>
  <si>
    <t>Joint pain, stiffness and swelling</t>
  </si>
  <si>
    <t>https://medlineplus.gov/genetics/condition/psoriatic-arthritis/</t>
  </si>
  <si>
    <t>https://medlineplus.gov/genetics/condition/rheumatoid-arthritis/</t>
  </si>
  <si>
    <t>40-50</t>
  </si>
  <si>
    <t>Ataxia</t>
  </si>
  <si>
    <t>https://medlineplus.gov/genetics/condition/friedreich-ataxia/</t>
  </si>
  <si>
    <t>https://www.ncbi.nlm.nih.gov/books/NBK1281/</t>
  </si>
  <si>
    <t>SCA3, ?Chantix (varenicline)?</t>
  </si>
  <si>
    <t>Ataxia, dysarthria</t>
  </si>
  <si>
    <t>https://www.ncbi.nlm.nih.gov/books/NBK1196/</t>
  </si>
  <si>
    <t>https://medlineplus.gov/genetics/condition/spinocerebellar-ataxia-type-3/</t>
  </si>
  <si>
    <t>https://n.neurology.org/content/our-experience-varenicline-treatment-ataxia-response-randomized-trial-varenicline-chantix#:~:text=treatment%20for%20ataxia.-,A%20response%20to%20%22A%20randomized%20trial%20of%20varenicline%20(Chantix),of%20spinocerebellar%20ataxia%20type%203%22&amp;text=Zesiewicz%20et%20al.,SCA3%20patients%20with%20excellent%20tolerance.&amp;text=found%20improvements%20in%20scores%2C%20they,patient%20or%20clinical%20global%20impression.</t>
  </si>
  <si>
    <t>https://www.ncbi.nlm.nih.gov/books/NBK1138/</t>
  </si>
  <si>
    <t>Hypotonia</t>
  </si>
  <si>
    <t>https://medlineplus.gov/genetics/condition/spinal-and-bulbar-muscular-atrophy/</t>
  </si>
  <si>
    <t>https://www.ncbi.nlm.nih.gov/books/NBK1333/</t>
  </si>
  <si>
    <t>Non-motile ciliopathy (retinal cone-rod dystrophy, obesity and related complications, postaxial polydactyly, cognitive impairment, hypogonadotropic hypogonadism and/or genitourinary malformations, and renal malformations and/or renal parenchymal disease)</t>
  </si>
  <si>
    <t>Obesity, intellectual disability, blindness</t>
  </si>
  <si>
    <t>https://medlineplus.gov/genetics/condition/bardet-biedl-syndrome/</t>
  </si>
  <si>
    <t>https://www.ncbi.nlm.nih.gov/books/NBK1363/</t>
  </si>
  <si>
    <t>CLN2: Brineura</t>
  </si>
  <si>
    <t>$747,786</t>
  </si>
  <si>
    <t>Progressive vision loss, personality and behavioral changes, seizures, intellectual decline, echolalia, etc.</t>
  </si>
  <si>
    <t>https://professionals.optumrx.com/content/dam/optum3/professional-optumrx/news/rxnews/drug-approvals/drugapprovals_brineura_2017-0428.pdf</t>
  </si>
  <si>
    <t>https://www.ncbi.nlm.nih.gov/pmc/articles/PMC4567481/</t>
  </si>
  <si>
    <t>Progressive vision loss</t>
  </si>
  <si>
    <t>Legally blind, 40s-50s</t>
  </si>
  <si>
    <t>https://medlineplus.gov/genetics/condition/bietti-crystalline-dystrophy/</t>
  </si>
  <si>
    <t>https://www.ncbi.nlm.nih.gov/books/NBK91457/</t>
  </si>
  <si>
    <t>Leukodystrophy, hypotonia, macrocephaly, irritability, feeding and swallowing difficulties, seizures, slepp disturbances</t>
  </si>
  <si>
    <t>Leukodystrophy, etc.</t>
  </si>
  <si>
    <t>https://medlineplus.gov/genetics/condition/canavan-disease/</t>
  </si>
  <si>
    <t>https://www.ncbi.nlm.nih.gov/books/NBK1234/</t>
  </si>
  <si>
    <t>Enlarged LV; BAG3 mutation</t>
  </si>
  <si>
    <t>https://link.springer.com/article/10.1007/s10741-019-09899-7</t>
  </si>
  <si>
    <t>https://www.ncbi.nlm.nih.gov/pmc/articles/PMC6688826/</t>
  </si>
  <si>
    <t>Varies with severity; over 50 possible</t>
  </si>
  <si>
    <t>Seizures, severe intellectual disability and little or no speech, motor skills delayed or not achieved</t>
  </si>
  <si>
    <t>https://medlineplus.gov/genetics/condition/cdkl5-deficiency-disorder/</t>
  </si>
  <si>
    <t>Type 1A: normal</t>
  </si>
  <si>
    <t>None - Symptomatic</t>
  </si>
  <si>
    <t>Weakness/atrophy of lower leg muscles, hand weakness, sensory loss.</t>
  </si>
  <si>
    <t>https://www.ncbi.nlm.nih.gov/books/NBK1358/</t>
  </si>
  <si>
    <t>Progressive vision loss; blind late adult</t>
  </si>
  <si>
    <t>https://medlineplus.gov/genetics/condition/choroideremia/</t>
  </si>
  <si>
    <t>https://www.ncbi.nlm.nih.gov/books/NBK1337/</t>
  </si>
  <si>
    <t>40+</t>
  </si>
  <si>
    <t>Actimmune (Interferon gamma-1b)</t>
  </si>
  <si>
    <t>$390,765-$781,530 (20kg-80kg)</t>
  </si>
  <si>
    <t>Immune system problems</t>
  </si>
  <si>
    <t>https://medlineplus.gov/genetics/condition/chronic-granulomatous-disease/</t>
  </si>
  <si>
    <t>https://www.ncbi.nlm.nih.gov/books/NBK99496/</t>
  </si>
  <si>
    <t>Citrullinemia</t>
  </si>
  <si>
    <t>Ravicti (Glycerol phenylbutyrate)</t>
  </si>
  <si>
    <t>$345,000-$922,000 (10kg-80kg)</t>
  </si>
  <si>
    <t>Urea cycle disorder - ammonia buildup (ataxia, seizures, lethargy)</t>
  </si>
  <si>
    <t>Ataxia, seizures, lethargy</t>
  </si>
  <si>
    <t>https://www.ncbi.nlm.nih.gov/books/NBK476309/table/app8.t1/</t>
  </si>
  <si>
    <t>https://www.pharmaceutical-technology.com/features/most-expensive-drugs-us/</t>
  </si>
  <si>
    <t>https://www.ncbi.nlm.nih.gov/books/NBK1458/</t>
  </si>
  <si>
    <t>Low</t>
  </si>
  <si>
    <t>Kernicterus, hypertonia, choreoathetosis, lethargy</t>
  </si>
  <si>
    <t>https://medlineplus.gov/genetics/condition/crigler-najjar-syndrome/</t>
  </si>
  <si>
    <t>https://www.statpearls.com/ArticleLibrary/viewarticle/20123</t>
  </si>
  <si>
    <t>Trikafta (elexacaftor/ivacaftor/tezacaftor)</t>
  </si>
  <si>
    <t>Phlemy coughing, frequent lung infections, digestive problems, delayed development, fatigue</t>
  </si>
  <si>
    <t>https://www.cff.org/Research/Researcher-Resources/Patient-Registry/Understanding-Changes-in-Life-Expectancy/</t>
  </si>
  <si>
    <t>https://www.advisory.com/daily-briefing/2019/10/28/cf-drug#:~:text=Trikafta%20will%20cost%20%24311%2C503%20annually,million%20in%202020%2C%20Reuters%20reports.</t>
  </si>
  <si>
    <t>Renal Fanconi syndrome, photophobia (corneal crystal deposition)</t>
  </si>
  <si>
    <t>End stage renal disease, blindness diabetes</t>
  </si>
  <si>
    <t>https://khn.org/news/the-high-cost-of-hope-when-the-parallel-interests-of-pharma-and-families-collide/</t>
  </si>
  <si>
    <t>Male, 20; female, 35</t>
  </si>
  <si>
    <t>Intervention for cardiomyopathy (transplantation, LVAD)</t>
  </si>
  <si>
    <t>See Heart failure</t>
  </si>
  <si>
    <t>Cardiomyopathy, myopathy, mild intellectual disability (male)</t>
  </si>
  <si>
    <t>Congestive heart disease, mild intellectual disability (male)</t>
  </si>
  <si>
    <t>https://medlineplus.gov/genetics/condition/danon-disease/</t>
  </si>
  <si>
    <t>Progressive decline in brain function</t>
  </si>
  <si>
    <t>https://www.webmd.com/alzheimers/guide/frontotemporal-dementia#1</t>
  </si>
  <si>
    <t>https://medlineplus.gov/genetics/condition/grn-related-frontotemporal-lobar-degeneration/</t>
  </si>
  <si>
    <t>https://medlineplus.gov/genetics/condition/frontotemporal-dementia-with-parkinsonism-17/</t>
  </si>
  <si>
    <t>Progressive decline in brain function, hallucinations/delusions, postural instability</t>
  </si>
  <si>
    <t>https://medlineplus.gov/genetics/condition/dementia-with-lewy-bodies/</t>
  </si>
  <si>
    <t>Insulin</t>
  </si>
  <si>
    <t xml:space="preserve">Chronic hyperglycemia, </t>
  </si>
  <si>
    <t>Neuropathy, cardiovascuer disease, peripheral vascular disease, ulcers</t>
  </si>
  <si>
    <t>https://medlineplus.gov/genetics/condition/type-1-diabetes/</t>
  </si>
  <si>
    <t>https://www.ncbi.nlm.nih.gov/books/NBK1447/</t>
  </si>
  <si>
    <t>https://www.ncbi.nlm.nih.gov/books/NBK500456/</t>
  </si>
  <si>
    <t>6-10 years less than normal</t>
  </si>
  <si>
    <t>Insulin, 
Metformin, Sulphonylurea, pioglitazone,  
Trulicity (GLP-1), 
Nesina/Trajenta/Onglyza (DPP-4 inhibitors), 
Jardiance/Farxiga/Invokana/Steglatro (SGLT-2)</t>
  </si>
  <si>
    <t xml:space="preserve">$6,000
Low
$12,402
$6,984
$6,660
</t>
  </si>
  <si>
    <t>Obesity, PVD, diabetic ulcers, cardiovascular disease</t>
  </si>
  <si>
    <t>https://medlineplus.gov/genetics/condition/type-2-diabetes/</t>
  </si>
  <si>
    <t xml:space="preserve"> None - LAMA2 - Symptomatic</t>
  </si>
  <si>
    <t xml:space="preserve"> Profound hypotonia, contractures of the large joints, respiratory failure, progressive scoliosis, seizures</t>
  </si>
  <si>
    <t>https://www.webmd.com/children/understanding-muscular-dystrophy-basics#1</t>
  </si>
  <si>
    <t>https://www.ncbi.nlm.nih.gov/books/NBK97333/</t>
  </si>
  <si>
    <t>Average 20-30; some 40-50</t>
  </si>
  <si>
    <t>Emflaza (Deflazacort), 
Eteplirsen,
 Golodirsen</t>
  </si>
  <si>
    <t>$40,700-$122,000 (20kg-60kg) 
$750,000-$1,500,000 (20kg-60kg)
Similar to Eteplirsen</t>
  </si>
  <si>
    <t>Rapidly progressive -wheelchair by 12; cardiomypathy by 18; respiratory complications</t>
  </si>
  <si>
    <t>https://www.fiercepharma.com/pharma/want-bang-for-your-buck-don-t-look-to-sarepta-s-pricey-dmd-therapy-exondys-icer-says</t>
  </si>
  <si>
    <t>https://icer-review.org/wp-content/uploads/2018/12/ICER_DMD_Evidence_Presentation_072519-x1Aug2017-1-2.pdf</t>
  </si>
  <si>
    <t>https://www.ncbi.nlm.nih.gov/books/NBK1119/</t>
  </si>
  <si>
    <t>LGMD2A (CAPN3): Adolescent
LGMD2B (DYSF): Young adulthood
LGMD2C (SGCG): Early childhood
LGMD2D (SGCA): Early childhood
LGMD2E (SGCB): Early childhood
LGMD2I (FKRP): Late childhood
LGMD2L (ANO5): Adult</t>
  </si>
  <si>
    <t>None - Symptomatic/supportive</t>
  </si>
  <si>
    <t>Muscle weakness</t>
  </si>
  <si>
    <t>https://www.ncbi.nlm.nih.gov/books/NBK114459/</t>
  </si>
  <si>
    <t>https://www.ncbi.nlm.nih.gov/books/NBK1303/</t>
  </si>
  <si>
    <t>https://www.ncbi.nlm.nih.gov/books/NBK1313/</t>
  </si>
  <si>
    <t>Dystrophy, myotonic muscular</t>
  </si>
  <si>
    <t>4
2</t>
  </si>
  <si>
    <t>1
4</t>
  </si>
  <si>
    <t>Congenital - Hypotonia, breathing problems, delayed development, intellectual disability, clubfoot</t>
  </si>
  <si>
    <t>https://www.ncbi.nlm.nih.gov/books/NBK1165/</t>
  </si>
  <si>
    <t>Dystrophy, oculopharyngeal muscular</t>
  </si>
  <si>
    <t>Ptosis, dysphagia, limb-girdle muscle weakness</t>
  </si>
  <si>
    <t>https://www.ncbi.nlm.nih.gov/books/NBK1126/</t>
  </si>
  <si>
    <t>Eczema</t>
  </si>
  <si>
    <t>https://medlineplus.gov/genetics/condition/atopic-dermatitis/</t>
  </si>
  <si>
    <t>Normal; Risk of squamous cell carcinoma</t>
  </si>
  <si>
    <t>Blistering</t>
  </si>
  <si>
    <t>https://medlineplus.gov/genetics/condition/dystrophic-epidermolysis-bullosa/</t>
  </si>
  <si>
    <t>https://medlineplus.gov/genetics/condition/junctional-epidermolysis-bullosa/</t>
  </si>
  <si>
    <t>Anti epileptic drugs
Vagus nerve stimulation (VNS)
Responsive neurostimulation (RNS)
Deep brain stimulation (DBS)
Invasive options - surgery</t>
  </si>
  <si>
    <t>$6,502
$41,574
$31,950 (device only)
$100,000-$150,000</t>
  </si>
  <si>
    <t>Seizures</t>
  </si>
  <si>
    <t>https://www.sciencedirect.com/science/article/abs/pii/S1878875016313894?via%3Dihub</t>
  </si>
  <si>
    <t>https://combigene.com/en/the-market-for-epilepsy/</t>
  </si>
  <si>
    <t>https://link.springer.com/article/10.1007/s12325-018-0775-0/tables/1</t>
  </si>
  <si>
    <t>https://www.goodrx.com/anti-epileptics</t>
  </si>
  <si>
    <t>http://www.neurosurgeryresident.net/E.%20Epilepsy%20and%20Seizures/E25.%20RNS.pdf</t>
  </si>
  <si>
    <t>https://n.neurology.org/content/95/10/e1404/tab-figures-data</t>
  </si>
  <si>
    <t>https://pubmed.ncbi.nlm.nih.gov/26138748/</t>
  </si>
  <si>
    <t>Men, 58; women, 75</t>
  </si>
  <si>
    <t>Enzyme replacement therapies;
 Replagal (agalsidase-alpha), 
Fabrazyme (agalsidase beta), 
Galafold(Migalastat)</t>
  </si>
  <si>
    <t>Acroparesthesias, angiokeratomas, hypohidrosis, corneal opacity or corneal verticillata, tinnitus, progressive kidney damage, heart attack, and stroke</t>
  </si>
  <si>
    <t>https://www.ncbi.nlm.nih.gov/books/NBK1292/</t>
  </si>
  <si>
    <t>https://fabrydiseasenews.com/fabry-disease-life-expectancy/#:~:text=Published%20data%20from%20the%20Fabry,women%20in%20the%20U.S.%20general</t>
  </si>
  <si>
    <t xml:space="preserve">Intellectual disabilities, attention deficit and hyperactivity, anxiety and unstable mood, autistic behaviors, sensory integration problems, </t>
  </si>
  <si>
    <t>https://medlineplus.gov/genetics/condition/fragile-x-syndrome/</t>
  </si>
  <si>
    <t>https://www.ncbi.nlm.nih.gov/books/NBK1384/</t>
  </si>
  <si>
    <t>Types 1 &amp; 3, Enzyme replacement therapies - 
Cerezyme (imiglucerase), 
VPRIV (velaglucerase alfa), 
Elelyso (taliglucerase alfa);
Glucosylceramide synthase inhibitors - Zavesca (miglustat), Cerdelga (eliglustat)</t>
  </si>
  <si>
    <t>Type 1 - Enlarged liver and spleen, fatigue, anemia, bone pain and fractures, easy bruising and bleeding; Type 2 - Seizures, brain damage;</t>
  </si>
  <si>
    <t>https://www.ncbi.nlm.nih.gov/books/NBK534700/</t>
  </si>
  <si>
    <t>https://www.fiercepharma.com/pharma/top-20-most-expensive-drugs-2018-featuring-names-big-and-small</t>
  </si>
  <si>
    <t>https://www.ahip.org/wp-content/uploads/2016/04/HighPriceDrugsReport.pdf</t>
  </si>
  <si>
    <t>Glaucoma</t>
  </si>
  <si>
    <t>&gt;=40</t>
  </si>
  <si>
    <t>Many</t>
  </si>
  <si>
    <t>Blindness</t>
  </si>
  <si>
    <t>https://www.mayoclinic.org/medical-professionals/ophthalmology/news/incidence-and-probability-of-progression-to-blindness-due-to-open-angle-glaucoma-decreases-dramatically/mac-20430155</t>
  </si>
  <si>
    <t>https://www.ncbi.nlm.nih.gov/pmc/articles/PMC6604230/</t>
  </si>
  <si>
    <t>http://www.visionproblemsus.org/glaucoma/glaucoma-map.html</t>
  </si>
  <si>
    <t>With treatment - Normal</t>
  </si>
  <si>
    <t xml:space="preserve">Uncooked corn starch, Allopurinol, </t>
  </si>
  <si>
    <t>Hypoglycemia, hepatomegaly, nephromegaly, elevated levels of lactate, uric acid and lipids, delayed growth and development and muscle weakness</t>
  </si>
  <si>
    <t>https://medlineplus.gov/genetics/condition/glycogen-storage-disease-type-i/</t>
  </si>
  <si>
    <t>Enzyme replacement therapies - Myozyme, Lumizyme (alglucosidase alfa)</t>
  </si>
  <si>
    <t>$298,000, $460,000</t>
  </si>
  <si>
    <t xml:space="preserve">Myopathy, hypotonia, cardiomegaly, hepatomegaly, macroglossia, </t>
  </si>
  <si>
    <t>https://web.archive.org/web/20190329161935/https://www1.magellanrx.com/media/604882/2016mrxtrendreport_final.pdf</t>
  </si>
  <si>
    <t>http://www.pmprb-cepmb.gc.ca/view.asp?ccid=632</t>
  </si>
  <si>
    <t>https://medlineplus.gov/genetics/condition/pompe-disease/</t>
  </si>
  <si>
    <t>Developmental regression, hepatosplenomegaly, skeletal abnormalities, seizures, profound intellectual disability, corneal clouding</t>
  </si>
  <si>
    <t>https://medlineplus.gov/genetics/condition/gm1-gangliosidosis/</t>
  </si>
  <si>
    <t>GM2 gangliosidosis</t>
  </si>
  <si>
    <t>2-5 years</t>
  </si>
  <si>
    <t>Developmental arrest/regression, startling, hypotonia</t>
  </si>
  <si>
    <t>https://www.ncbi.nlm.nih.gov/pmc/articles/PMC3208966/</t>
  </si>
  <si>
    <t>https://medlineplus.gov/genetics/condition/tay-sachs-disease/</t>
  </si>
  <si>
    <t>Graft-versus-host disease</t>
  </si>
  <si>
    <t>With treatment - unknown</t>
  </si>
  <si>
    <t>Soliris (eculizumab)(+meningitis vaccine)</t>
  </si>
  <si>
    <t>$709,238</t>
  </si>
  <si>
    <t>Hemolytic anemia, thrombocytopenia, kidney failure - end-stage renal disease</t>
  </si>
  <si>
    <t>https://ghr.nlm.nih.gov/condition/atypical-hemolytic-uremic-syndrome</t>
  </si>
  <si>
    <t>Clotting failure</t>
  </si>
  <si>
    <t xml:space="preserve">Joint damage, </t>
  </si>
  <si>
    <t>https://www.fiercepharma.com/sales-and-marketing/biogen-prices-new-long-acting-hemophilia-med-eye-on-patient-switching#:~:text=Last%20week%2C%20Biogen%20announced%20it,%24550%2C000%20to%20%24600%2C000%20per%20year.</t>
  </si>
  <si>
    <t>https://www.evaluate.com/vantage/articles/news/hemlibra-shows-it-cheaper-and-better</t>
  </si>
  <si>
    <t xml:space="preserve">Rixubis/Alprolix, Rebinyn (nonacog beta pegol), Idelvion (albutrepenonacog alfa), </t>
  </si>
  <si>
    <t>$500,000, $ , $500,000</t>
  </si>
  <si>
    <t>https://www.medscape.com/viewarticle/879422#:~:text=Approved%20in%202016%2C%20Idelvion%20combines,annual%20price%20tag%20of%20%24500%2C000.</t>
  </si>
  <si>
    <t>Cochlear implant</t>
  </si>
  <si>
    <t>$50,000-$100,000</t>
  </si>
  <si>
    <t>Deafness</t>
  </si>
  <si>
    <t>https://health.costhelper.com/cochlear-implant.html</t>
  </si>
  <si>
    <t>Low risk, 3 years 60% survival
High risk, 3 years 40% survival</t>
  </si>
  <si>
    <t>Inotropic agents, Left ventricle assist device (LVAD), Heart transplant</t>
  </si>
  <si>
    <t>LVAD -$175,000 implant cost ($726,000 over 6 years)
Heart transplant - $1,382,400</t>
  </si>
  <si>
    <t>Systolic left ventricular dysfunction, dyspnea, edema, fatigue &amp; weakness,</t>
  </si>
  <si>
    <t>http://www.heartfailure.onlinejacc.org/content/jhf/5/2/110.full.pdf?download=true</t>
  </si>
  <si>
    <t>https://www.texasheart.org/heart-health/heart-information-center/topics/inotropic-agents/</t>
  </si>
  <si>
    <t>PiZZ - 60</t>
  </si>
  <si>
    <t>Ursodeoxycholic acid (choleretic agent)
Liver transplant</t>
  </si>
  <si>
    <t>Jaundice, swelling of the abdomen, poor growth</t>
  </si>
  <si>
    <t>Jaundice, swelling of the abdomen. Cholestasis and pruritus</t>
  </si>
  <si>
    <t>10-30 years</t>
  </si>
  <si>
    <t>Pyridoxine, calcium-oxalate crystallization inhibitors, ( FDA review - Lumasiran)</t>
  </si>
  <si>
    <t>Recurrent kidney/bladder stones, end stage renal disease</t>
  </si>
  <si>
    <t>https://medlineplus.gov/genetics/condition/primary-hyperoxaluria/</t>
  </si>
  <si>
    <t>https://www.ncbi.nlm.nih.gov/books/NBK1283/</t>
  </si>
  <si>
    <t>33 years</t>
  </si>
  <si>
    <t>Lojuxta/Juxtapid (lomitapide)</t>
  </si>
  <si>
    <t>Excessive levels of low-density lipoprotein cholesterol (LDL-C), xanthomas, xanthelasma, severe and progressive atherosclerosis</t>
  </si>
  <si>
    <t>https://www.keionline.org/wp-content/uploads/2018/03/Juxtapid-Failure2disclose-Daniel-Rader-19Mar2018.pdf</t>
  </si>
  <si>
    <t>https://www.wellrx.com/prescriptions/juxtapid/</t>
  </si>
  <si>
    <t>https://www.medscape.com/viewarticle/809475_3#:~:text=Homozygous%20familial%20hypercholesterolemia%20(HoFH)%20is,expectancy%20is%20approximately%2033%20years.</t>
  </si>
  <si>
    <t>Difficulty concentrating, memory lapses, depression, clumsiness, mood swings
Chorea, difficulty walking, decline in cognitive abilities</t>
  </si>
  <si>
    <t>https://medlineplus.gov/genetics/condition/huntington-disease/</t>
  </si>
  <si>
    <t>https://www.ncbi.nlm.nih.gov/books/NBK1305/</t>
  </si>
  <si>
    <t>Treated - normal</t>
  </si>
  <si>
    <t>Phenylalanine restricted diet</t>
  </si>
  <si>
    <t>progressive neurologic symptoms and seizures</t>
  </si>
  <si>
    <t>https://en.wikipedia.org/wiki/Hyperphenylalaninemia</t>
  </si>
  <si>
    <t>7-10 years after onset</t>
  </si>
  <si>
    <t>Ambrisentan, Macitentan, Adcirca, 
Orenitram, Uptravi, Tyvaso, 
Remodulin</t>
  </si>
  <si>
    <t>$30,000, $126,000 , $26,000, $130,000, $170,000, $107,000, $144,000</t>
  </si>
  <si>
    <t>Dyspnea, fatigue, syncope, edema &amp; ascites, cyanosis, palpitations</t>
  </si>
  <si>
    <t>https://www.jnj.com/health-and-wellness/5-things-we-now-know-about-pulmonary-arterial-hypertension</t>
  </si>
  <si>
    <t>https://link.springer.com/article/10.1007/s40801-020-00183-x</t>
  </si>
  <si>
    <t>https://payorsolutions.cvshealth.com/insights/new-horizons-for-pah-treatments</t>
  </si>
  <si>
    <t>Unknown</t>
  </si>
  <si>
    <t>Lamellar ichthyosis, dark brown, plate-like scale with no erythroderma</t>
  </si>
  <si>
    <t>https://www.ncbi.nlm.nih.gov/books/NBK1420/</t>
  </si>
  <si>
    <t>Untreated, 2 years; 
With immunosuppression, childhood
Bone marrow transplant, 10+</t>
  </si>
  <si>
    <t>Immunosuppression, bone marrow transplant</t>
  </si>
  <si>
    <t xml:space="preserve">Multiple autoimmune disorders, autoimmune enteropathy, polyendocrinopathy, </t>
  </si>
  <si>
    <t>Extensive organ damage</t>
  </si>
  <si>
    <t>https://ghr.nlm.nih.gov/condition/immune-dysregulation-polyendocrinopathy-enteropathy-x-linked-syndrome</t>
  </si>
  <si>
    <t>Impotence</t>
  </si>
  <si>
    <t>30% mortality - 50% prior to hospitalization</t>
  </si>
  <si>
    <t xml:space="preserve">Percutaneous coronary intervention (PCI), coronary artery bypass graft (CABG), </t>
  </si>
  <si>
    <t>$25,845 (5 years - $56,860), $123,000-$151,000</t>
  </si>
  <si>
    <t>Chest/arm/neck/back/jaw tightness/pain, fatigue, lightheadedness, abnormal heartbeat</t>
  </si>
  <si>
    <t>http://icer-review.org/wp-content/uploads/2016/01/Costs-PCI-CABG-DM-CAD-March-2013.pdf</t>
  </si>
  <si>
    <t>https://www.medscape.com/answers/155919-15097/what-is-the-prognosis-of-acute-myocardial-infarction-mi-heart-attack#:~:text=Acute%20myocardial%20infarction%20(MI)%20is,year%20after%20their%20myocardial%20infarction.</t>
  </si>
  <si>
    <t>https://www.ncbi.nlm.nih.gov/books/NBK459269/</t>
  </si>
  <si>
    <t>https://www.ahajournals.org/doi/abs/10.1161/circoutcomes.8.suppl_2.208</t>
  </si>
  <si>
    <t>https://www.statista.com/statistics/189966/cost-of-a-heart-bypass-in-various-countries/</t>
  </si>
  <si>
    <t>I year survival, 77%</t>
  </si>
  <si>
    <t>Alteplase, mechanical thombectomy</t>
  </si>
  <si>
    <t>$25,630, $35,130</t>
  </si>
  <si>
    <t>Impairments in vision, body movement, and speaking, unconsciousness, blindness</t>
  </si>
  <si>
    <t>Brain damage</t>
  </si>
  <si>
    <t>https://www.ncbi.nlm.nih.gov/pmc/articles/PMC2669322/</t>
  </si>
  <si>
    <t>https://www.ahajournals.org/doi/pdf/10.1161/STROKEAHA.117.017199</t>
  </si>
  <si>
    <t>Severely impaired vision, photophobia, nystagmus, hyperopia, keratoconus.</t>
  </si>
  <si>
    <t>https://ghr.nlm.nih.gov/condition/leber-congenital-amaurosis</t>
  </si>
  <si>
    <t>Bilateral, painless subacute loss of central vision during young adult life. bilateral optic atrophy. Blindness</t>
  </si>
  <si>
    <t>https://rarediseases.org/rare-diseases/leber-hereditary-optic-neuropathy/</t>
  </si>
  <si>
    <t>LAD-1 - Untreated - Mortality, 75% by age 2</t>
  </si>
  <si>
    <t>Allogeneic stem cell transplant</t>
  </si>
  <si>
    <t>Delayed separation of the umbilical cord, recurrent pyogenic infections, absent pus formation, periodontitis</t>
  </si>
  <si>
    <t>Recurrent pyogenic infections, absent pus formation, periodontitis</t>
  </si>
  <si>
    <t>https://www.rocketpharma.com/lad-i-clinical-trial-for-health-care-providers/</t>
  </si>
  <si>
    <t>https://www.ncbi.nlm.nih.gov/books/NBK539770/</t>
  </si>
  <si>
    <t>Infantile onset (90%) - 1-7months; LE - 5-7 years</t>
  </si>
  <si>
    <t>Progressive neurological dysfunction - retardation, paralysis, blindness, deafness, pseudobulbar palsy</t>
  </si>
  <si>
    <t>Retardation, paralysis, blindness, deafness, pseudobulbar palsy</t>
  </si>
  <si>
    <t>https://rarediseases.org/rare-diseases/leukodystrophy-krabbes/</t>
  </si>
  <si>
    <t>Speech loss, gait disturbance, myotonia, 
Behavioral problems, then as above
Behavioral problems, psychiatric symptoms, as above</t>
  </si>
  <si>
    <t>https://ghr.nlm.nih.gov/condition/metachromatic-leukodystrophy</t>
  </si>
  <si>
    <t>After diagnosis, 40 years</t>
  </si>
  <si>
    <t>Fatigue, malaise, fever, loss of appetite, weight loss. Joint and muscle pain and weakness. Butterfly rash, calcinosis, vasculitis, petechiae. Nephritis, pericarditis</t>
  </si>
  <si>
    <t>https://ghr.nlm.nih.gov/condition/systemic-lupus-erythematosus</t>
  </si>
  <si>
    <t>Dietary (Lutein, etc.)</t>
  </si>
  <si>
    <t>Drusen, Vision issues, loss of central vision</t>
  </si>
  <si>
    <t>Geographic atrophy, blindness</t>
  </si>
  <si>
    <t>https://www.webmd.com/eye-health/macular-degeneration/wet-amd-treatments#1</t>
  </si>
  <si>
    <t>Macular degeneration, age-related, wet
Macular edema, diabetic
Retinopathy, diabetic</t>
  </si>
  <si>
    <t>Avastin, Eylea, Lucentis, Beovu</t>
  </si>
  <si>
    <t>$600, $25,000, $25,000, $25,000</t>
  </si>
  <si>
    <t>Neovascularization, vision issues, blindness</t>
  </si>
  <si>
    <t>https://www.webmd.com/eye-health/macular-degeneration/wet-amd-signs-symptoms#1</t>
  </si>
  <si>
    <t>Bright yellow cyst under the RPE, central vision issues</t>
  </si>
  <si>
    <t>Loss of central vision</t>
  </si>
  <si>
    <t>https://rarediseases.org/rare-diseases/best-vitelliform-macular-dystrophy/</t>
  </si>
  <si>
    <t>Vision loss in childhood or adolescence, light sensitivity, color blindness</t>
  </si>
  <si>
    <t>Loss of central vision and niht vision</t>
  </si>
  <si>
    <t>https://www.nei.nih.gov/learn-about-eye-health/eye-conditions-and-diseases/stargardt-disease</t>
  </si>
  <si>
    <t>3-12 months</t>
  </si>
  <si>
    <t>Thoracocentesis</t>
  </si>
  <si>
    <t>$713 (IP) - $15,170 (OP)</t>
  </si>
  <si>
    <t>Fluid in pleural cavity - CML comordidity</t>
  </si>
  <si>
    <t>https://pubmed.ncbi.nlm.nih.gov/20463821/</t>
  </si>
  <si>
    <t>Untreated - 3</t>
  </si>
  <si>
    <t>Copper-histidine</t>
  </si>
  <si>
    <t>$?</t>
  </si>
  <si>
    <t>Sparse, kinky hair, failure to thrive, hypotonia, deterioration of the nervous system</t>
  </si>
  <si>
    <t>Hypotonia, deterioration of the nervous system</t>
  </si>
  <si>
    <t>https://ghr.nlm.nih.gov/condition/menkes-syndrome</t>
  </si>
  <si>
    <t>https://www.ninds.nih.gov/Disorders/All-Disorders/Menkes-Disease-Information-Page</t>
  </si>
  <si>
    <t>MMUT (B12 unresponsive) - Most severe - potentially poor outcomes</t>
  </si>
  <si>
    <t>Diet, antibiotics</t>
  </si>
  <si>
    <t>Infants - Vomiting, dehydration, hypotonia, developmental delay, lethargy, hepatomegaly, failure to thrive. 
Long term - Intellectual disability, chronic kidney disease, pancreatitis</t>
  </si>
  <si>
    <t>Intellectual disability, chronic kidney disease, pancreatitis</t>
  </si>
  <si>
    <t>https://medlineplus.gov/genetics/condition/methylmalonic-acidemia/</t>
  </si>
  <si>
    <t>https://www.orpha.net/consor/www/cgi-bin/OC_Exp.php?lng=EN&amp;Expert=27</t>
  </si>
  <si>
    <t>Macrocephaly, hydrocephalus, heart valve abnormalitie, hepatosplenomegaly, macroglossia, sleep apnea, corneal clouding, dysostosis multiplex, decline in intellectual function</t>
  </si>
  <si>
    <t>https://medlineplus.gov/genetics/condition/mucopolysaccharidosis-type-i/</t>
  </si>
  <si>
    <t>https://www.rxlist.com/aldurazyme-drug.htm#description</t>
  </si>
  <si>
    <t>https://www.drugs.com/price-guide/aldurazyme</t>
  </si>
  <si>
    <t>Enzyme replacement therapy  - Elaprase (laronidase)</t>
  </si>
  <si>
    <t>$142,272-$1,138,107 (10kg-80kg)</t>
  </si>
  <si>
    <t>Severe - as MPS I</t>
  </si>
  <si>
    <t>As MPS I</t>
  </si>
  <si>
    <t>https://medlineplus.gov/genetics/condition/mucopolysaccharidosis-type-ii/</t>
  </si>
  <si>
    <t>https://www.drugs.com/price-guide/elaprase</t>
  </si>
  <si>
    <t>https://pharmaoffer.com/blog/show/10-most-expensive-drugs-in-the-world</t>
  </si>
  <si>
    <t>http://www.elaprase.com/hcp/dosing-administration</t>
  </si>
  <si>
    <t>Adolescence or early adulthood</t>
  </si>
  <si>
    <t>Neurodegeneration, developmental regression, seizures and movement disorders</t>
  </si>
  <si>
    <t>https://medlineplus.gov/genetics/condition/mucopolysaccharidosis-type-iii/</t>
  </si>
  <si>
    <t>Enzyme replacement therapy  - Vimizim (elosulfase alfa)</t>
  </si>
  <si>
    <t>$305,000-$2,263,000 (10kg-80kg)</t>
  </si>
  <si>
    <t>Skeletal abnormalities</t>
  </si>
  <si>
    <t>https://medlineplus.gov/genetics/condition/mucopolysaccharidosis-type-iv/</t>
  </si>
  <si>
    <t>https://reference.medscape.com/drug/vimizim-elosulfase-alfa-999909</t>
  </si>
  <si>
    <t>http://help.carecentrix.com/ProviderResources/CURRENT_MEDS.xls</t>
  </si>
  <si>
    <t>All - Corticosteroids, Ocrevus (ocrelizumab),
Secondary Progressive+Relapsing/remitting  -  Kesimpta (ofatumumab), 
Aubagio (teriflunomide),
Relapsing/remitting - Interferon beta medications, Glatopa (Glatiramer acetate), TYSABRI (natalizumab)
SIP modulatory - Zeposia (ozanimod), Mayzent (sponimod), Gilenya (fingolimod)</t>
  </si>
  <si>
    <t>$67,898
$83,000, 
$97,253
$41,820
$97,253
$86,000
$88,500, $62,000</t>
  </si>
  <si>
    <t>Nervous system damage, paresthesia, numbness, pain, and itching. Problems with muscle control, spasticity, hyperreflexia, weakness or partial paralysis of the muscles of the limbs, difficulty walking, or poor bladder control. Partial or complete vision loss</t>
  </si>
  <si>
    <t>https://medlineplus.gov/genetics/condition/multiple-sclerosis/</t>
  </si>
  <si>
    <t>https://www.mayoclinic.org/diseases-conditions/multiple-sclerosis/diagnosis-treatment/drc-20350274</t>
  </si>
  <si>
    <t>6-10 years after onset</t>
  </si>
  <si>
    <t>None - systemic</t>
  </si>
  <si>
    <t xml:space="preserve">Dysautonomia, Parkinsonism, cerebellar ataxia, </t>
  </si>
  <si>
    <t>https://medlineplus.gov/genetics/condition/multiple-system-atrophy/</t>
  </si>
  <si>
    <t>https://www.thieme-connect.de/products/ejournals/abstract/10.1055/s-0034-1381737</t>
  </si>
  <si>
    <t xml:space="preserve">Spinraza (nusinirsen)
Zolgensma (onasemnogene abeparvovec-xioi)
Evrysdi (risdiplam)
</t>
  </si>
  <si>
    <t>Atrophy of skeletal muscles</t>
  </si>
  <si>
    <t>https://ghr.nlm.nih.gov/condition/spinal-muscular-atrophy</t>
  </si>
  <si>
    <t>&lt; 2 years</t>
  </si>
  <si>
    <t>Muscle weakness, hypotonia, feeding difficulties, respiratory distress</t>
  </si>
  <si>
    <t>https://rarediseases.org/rare-diseases/x-linked-myotubular-myopathy/</t>
  </si>
  <si>
    <t>https://ghr.nlm.nih.gov/condition/x-linked-myotubular-myopathy</t>
  </si>
  <si>
    <t>Variable</t>
  </si>
  <si>
    <t>Ichthyosiform erythroderma, failure to thrive, dehydration, sepsis, immune system-related problems, trichorrhexis invaginata</t>
  </si>
  <si>
    <t>Ichthyosiform erythroderma, dehydration, sepsis, immune system-related problems, trichorrhexis invaginata</t>
  </si>
  <si>
    <t>https://medlineplus.gov/genetics/condition/netherton-syndrome/</t>
  </si>
  <si>
    <t>5-15 yars</t>
  </si>
  <si>
    <t xml:space="preserve">Symptomatic  </t>
  </si>
  <si>
    <t>Blindness; weakness, spasm, paralysis.</t>
  </si>
  <si>
    <t>https://rarediseases.org/rare-diseases/neuromyelitis-optica/</t>
  </si>
  <si>
    <t>https://www.orpha.net/data/patho/Pro/en/NeuromyelitisOptica-ENenPro10986.pdf</t>
  </si>
  <si>
    <t>May be shortened</t>
  </si>
  <si>
    <t>Lyrica (Pregabalin), Neurontin (gabapentin), Cymbalta (duloxetine), Opiods</t>
  </si>
  <si>
    <t>$22,000, $600, $1,500</t>
  </si>
  <si>
    <t>Numbness or reduced ability to feel pain or temperature changes, Tingling or burning sensation, Increased sensitivity to touch, Serious foot problems - infections, and bone and joint pain</t>
  </si>
  <si>
    <t>Foot ulcers, etc</t>
  </si>
  <si>
    <t>https://www.niddk.nih.gov/health-information/diabetes/overview/preventing-problems/nerve-damage-diabetic-neuropathies</t>
  </si>
  <si>
    <t>Neuropathy, lumbosacral radiculopathy</t>
  </si>
  <si>
    <t>Exercise, multiple classes of analgesics, opioids</t>
  </si>
  <si>
    <t>Pain syndrome caused by compression or irritation of nerve roots in the lower back</t>
  </si>
  <si>
    <t>Long term pain, opioid addiction</t>
  </si>
  <si>
    <t>https://www.ncbi.nlm.nih.gov/books/NBK430837/</t>
  </si>
  <si>
    <t>Type C - may survive to adulthood</t>
  </si>
  <si>
    <t>Type C - Zavesca (miglustat)</t>
  </si>
  <si>
    <t>$399,421</t>
  </si>
  <si>
    <t>Ataxia, vertical supranuclear gaze palsy, dystonia, severe liver disease, interstitial lung disease, decline in intellectual function, seizures</t>
  </si>
  <si>
    <t>https://medlineplus.gov/genetics/condition/niemann-pick-disease/</t>
  </si>
  <si>
    <t>https://www.goodrx.com/zavesca</t>
  </si>
  <si>
    <t>1
3</t>
  </si>
  <si>
    <t>3
2</t>
  </si>
  <si>
    <t>Neo-natal - lethargic, unwilling to eat, poorly-controlled breathing rate or body temperature, "floppy", seizures, coma, developmental delay and intellectual disability</t>
  </si>
  <si>
    <t>Seizures, coma, developmental delay and intellectual disability</t>
  </si>
  <si>
    <t>https://medlineplus.gov/genetics/condition/ornithine-transcarbamylase-deficiency/</t>
  </si>
  <si>
    <t>https://ojrd.biomedcentral.com/articles/10.1186/s13023-015-0266-1</t>
  </si>
  <si>
    <t>Bone marrow transplant</t>
  </si>
  <si>
    <t>Bones abnormally dense and prone to breakage, skull bones pinch cranial nerves - vision loss, hearing loss, and paralysis of facial muscles. Impaired bone marrow function.</t>
  </si>
  <si>
    <t>Skull bones pinch cranial nerves - vision loss, hearing loss, and paralysis of facial muscles. Impaired bone marrow function.</t>
  </si>
  <si>
    <t>https://medlineplus.gov/genetics/condition/osteopetrosis/</t>
  </si>
  <si>
    <t xml:space="preserve">Pelvic floor muscle exercises, Detrol (Tolterodine), Ditropan XL/Oxytrol/Gelnique (Oxybutynin), Botox (intradetrusor onabotulinum toxin A), nerve stimulation (sacral &amp; tibial) </t>
  </si>
  <si>
    <t xml:space="preserve">$2,100, $480/$10,750/$1,500, $2,200 , $20,000-$30,000 (one time cost - no allowance for device maintenance), </t>
  </si>
  <si>
    <t>Urinary incontinence</t>
  </si>
  <si>
    <t>https://link.springer.com/article/10.1007%2Fs11934-017-0739-y</t>
  </si>
  <si>
    <t>https://www.fiercebiotech.com/medical-devices/medtronic-touts-its-upgraded-wearable-neurostimulator-to-evaluate-overactive#:~:text=According%20to%20the%20Star%20Tribune,the%20cost%20by%20about%20%24200.</t>
  </si>
  <si>
    <t>https://www.ncbi.nlm.nih.gov/pmc/articles/PMC5003321/</t>
  </si>
  <si>
    <t>Lodosyn (levodopa + carbidopa), Gocovri (amantadine), NOURIANZ (istradefylline),  l-deprenyl/Eldepryl (Selegiline)</t>
  </si>
  <si>
    <t>$15,000-$30,000, $14,325 (FSS), $30,000, $6,500</t>
  </si>
  <si>
    <t>Tremors, bradykinesia, akinesia, postural instability, cognition (depression &amp; hallucinations), dementia</t>
  </si>
  <si>
    <t>https://medlineplus.gov/genetics/condition/parkinson-disease/</t>
  </si>
  <si>
    <t>https://www.goodrx.com/lodosyn</t>
  </si>
  <si>
    <t>Untreated - 10 years; treated - normal</t>
  </si>
  <si>
    <t>Soliris (eculizumab)</t>
  </si>
  <si>
    <t>Paroxysmal symptoms, hemolysis, hemolytic anemia, fatigue, weakness, pallor, shortness of breath, increased heart rate</t>
  </si>
  <si>
    <t>https://medlineplus.gov/genetics/condition/paroxysmal-nocturnal-hemoglobinuria/</t>
  </si>
  <si>
    <t>20 year survival, 66%; mortality 3x normal</t>
  </si>
  <si>
    <t>None - symptomatic - Rituxan (rituximab), Azan/Imuran (Azathioprine), mycophenolate mofetil</t>
  </si>
  <si>
    <t>$10,000 ($20,000 year one), $14,400, $300, $13,000</t>
  </si>
  <si>
    <t>Painful blisters and erosions on the skin and mucous membranes</t>
  </si>
  <si>
    <t>https://www.healthline.com/health/pemphigus-vulgaris</t>
  </si>
  <si>
    <t>https://pubmed.ncbi.nlm.nih.gov/22266247/</t>
  </si>
  <si>
    <t>8.2% annual mortality after diagnosis; CLI - survival at 5 years after diagnosis &lt; 30%</t>
  </si>
  <si>
    <t>Revascularization (endovascular, open surgical), amputation</t>
  </si>
  <si>
    <t>Claudication, leg numbness or weakness, coldness, sores that won't heal, No pulse or a weak pulse in legs or feet</t>
  </si>
  <si>
    <t>Stroke, myocardial infarction</t>
  </si>
  <si>
    <t>https://www.healthline.com/health/peripheral-vascular-disease</t>
  </si>
  <si>
    <t>https://bmccardiovascdisord.biomedcentral.com/articles/10.1186/1471-2261-5-14</t>
  </si>
  <si>
    <t>https://www.ahajournals.org/doi/full/10.1161/CIRCINTERVENTIONS.115.001946</t>
  </si>
  <si>
    <t>https://www.ncbi.nlm.nih.gov/pmc/articles/PMC1994028/</t>
  </si>
  <si>
    <t>8-14 years</t>
  </si>
  <si>
    <t>Symptomatic - primarily oncological</t>
  </si>
  <si>
    <t>Varous</t>
  </si>
  <si>
    <t>Various</t>
  </si>
  <si>
    <t>Type 3 (ABCB4) - symptoms, late infancy to early childhood; liver failure, childhood or adulthood.</t>
  </si>
  <si>
    <t>Ursodeoxycholic acid, liver transplant</t>
  </si>
  <si>
    <t>$3,000, $812,000</t>
  </si>
  <si>
    <t>Severe itching, jaundice, failure to thrive, portal hypertension, hepatosplenomegaly</t>
  </si>
  <si>
    <t>https://medlineplus.gov/genetics/condition/progressive-familial-intrahepatic-cholestasis/</t>
  </si>
  <si>
    <t>6-7 years from onset of symptoms</t>
  </si>
  <si>
    <t>None - symptomatic</t>
  </si>
  <si>
    <t>Loss of balance and frequent falls, bradykinesia, clumsiness, and stiffness of the trunk muscles, vertical gaze palsy, photophobia</t>
  </si>
  <si>
    <t>https://medlineplus.gov/genetics/condition/progressive-supranuclear-palsy/</t>
  </si>
  <si>
    <t>Mild cases - none
Severe cases - transfusion, splenectomy</t>
  </si>
  <si>
    <t>Chronic hemolytic anemia, pallor, jaundice, fatigue, dyspnea, tachycardia, splenomegaly, gallstones</t>
  </si>
  <si>
    <t>https://medlineplus.gov/genetics/condition/pyruvate-kinase-deficiency/</t>
  </si>
  <si>
    <t>https://medlineplus.gov/genetics/condition/retinitis-pigmentosa/</t>
  </si>
  <si>
    <t>Progressive vision loss, nystagmus, strabismus, hyperopia</t>
  </si>
  <si>
    <t>Blindness in 60s</t>
  </si>
  <si>
    <t>https://ghr.nlm.nih.gov/condition/x-linked-juvenile-retinoschisis</t>
  </si>
  <si>
    <t>20-40 (mean 24)</t>
  </si>
  <si>
    <t>Severe problems with language and communication, learning, coordination, and other brain functions, microcephaly. Breathing abnormalities, spitting or drooling, unusual eye movements such as intense staring or excessive blinking, cold hands and feet, irritability, sleep disturbances, seizures, scoliosis</t>
  </si>
  <si>
    <t>https://medlineplus.gov/genetics/condition/rett-syndrome/</t>
  </si>
  <si>
    <t>Sarcopenia</t>
  </si>
  <si>
    <t>Condition of aging. Increased mortality.</t>
  </si>
  <si>
    <t>Exercise, diet, creatine</t>
  </si>
  <si>
    <t>Decline of skeletal muscle tissue</t>
  </si>
  <si>
    <t>https://www.ncbi.nlm.nih.gov/pmc/articles/PMC4066461/</t>
  </si>
  <si>
    <t>https://www.ncbi.nlm.nih.gov/pmc/articles/PMC6351669/</t>
  </si>
  <si>
    <t>Untreated, &lt; 2;</t>
  </si>
  <si>
    <t>Hematopoietic stem cell transplant, 
Revcovi (elapegademase-lvlr)</t>
  </si>
  <si>
    <t>$409,600 ($892,700), 
$228,750-$3,660,000 (5kg-80kg)</t>
  </si>
  <si>
    <t>Lack of immune protection from bacteria, viruses, and fungi</t>
  </si>
  <si>
    <t>https://medlineplus.gov/genetics/condition/adenosine-deaminase-deficiency/</t>
  </si>
  <si>
    <t>Age at onset, 0-5; Untreated, infancy</t>
  </si>
  <si>
    <t xml:space="preserve">Hematopoietic stem cell transplant, </t>
  </si>
  <si>
    <t xml:space="preserve">$409,600 ($892,700), </t>
  </si>
  <si>
    <t>Lack of immune protection from bacteria, viruses, and fungi. Absence of T and B lymphocytes.</t>
  </si>
  <si>
    <t>https://rarediseases.org/rare-diseases/severe-combined-immunodeficiency/</t>
  </si>
  <si>
    <t>https://www.ncbi.nlm.nih.gov/gene/64421</t>
  </si>
  <si>
    <t>https://www.nature.com/articles/gene201116</t>
  </si>
  <si>
    <t>Untreated, infancy</t>
  </si>
  <si>
    <t>https://medlineplus.gov/genetics/condition/x-linked-severe-combined-immunodeficiency/</t>
  </si>
  <si>
    <t>https://ghr.nlm.nih.gov/condition/x-linked-severe-combined-immunodeficiency</t>
  </si>
  <si>
    <t>(Morphea) Normal</t>
  </si>
  <si>
    <t>Methotrexate + corticosteroids</t>
  </si>
  <si>
    <t>$1,000</t>
  </si>
  <si>
    <t>cutaneous sclerosis</t>
  </si>
  <si>
    <t>https://www.ncbi.nlm.nih.gov/pmc/articles/PMC4323700/</t>
  </si>
  <si>
    <t>https://pubmed.ncbi.nlm.nih.gov/9002014/</t>
  </si>
  <si>
    <t>https://pubmed.ncbi.nlm.nih.gov/12695134/</t>
  </si>
  <si>
    <t>54 years</t>
  </si>
  <si>
    <t>Prophylactic penicillin up to age 5
Hydroxyurea, blood transfusion
Allogeneic bone marrow transplantation
Endari (L-glutamine)
Adakveo (Crizanlizumab)
Oxbryta (Voxelotor)</t>
  </si>
  <si>
    <t>$322-$2,251, $?
$892,700
$14,571-$43,714
$36,770-$147,082 (20kg-80kg)
$165,240</t>
  </si>
  <si>
    <t>Anemia, repeated infections, periodic episodes of pain</t>
  </si>
  <si>
    <t>https://medlineplus.gov/genetics/condition/sickle-cell-disease/</t>
  </si>
  <si>
    <t>https://www.sciencedirect.com/science/article/abs/pii/S0146000515000257?via%3Dihub</t>
  </si>
  <si>
    <t>https://icer-review.org/wp-content/uploads/2019/08/ICER_SCD_MAP_112119.pdf</t>
  </si>
  <si>
    <t>Sjogren's syndrome</t>
  </si>
  <si>
    <t>Dry eyes, dry mouth</t>
  </si>
  <si>
    <t>https://medlineplus.gov/genetics/condition/sjogren-syndrome/</t>
  </si>
  <si>
    <t>Normal; &lt; 30 with heart complications</t>
  </si>
  <si>
    <t>Blood transfusion, 
Chelation Therapy (Ferriprox, Exjade)
Splenectomy</t>
  </si>
  <si>
    <t xml:space="preserve">$5,519, $23,179
</t>
  </si>
  <si>
    <t>Anemia, failure to thrive, jaundice, hepatosplenomegaly, cardiomegaly</t>
  </si>
  <si>
    <t>Anemia, hepatosplenomegaly, cardiomegaly</t>
  </si>
  <si>
    <t>https://medlineplus.gov/genetics/condition/beta-thalassemia/</t>
  </si>
  <si>
    <t>Transplant rejection, corneal</t>
  </si>
  <si>
    <t>Corneal transplant</t>
  </si>
  <si>
    <t>$30,200</t>
  </si>
  <si>
    <t>Rejection due to revascularization</t>
  </si>
  <si>
    <t>https://pubmed.ncbi.nlm.nih.gov/29361840/</t>
  </si>
  <si>
    <t>(Kidney) 0-2 years</t>
  </si>
  <si>
    <t>Kidney transplant</t>
  </si>
  <si>
    <t>$414,800</t>
  </si>
  <si>
    <t>Immune mediated rejection</t>
  </si>
  <si>
    <t>https://investor.sangamo.com/news-releases/news-release-details/sangamo-announces-uk-authorization-phase-12-clinical-trial</t>
  </si>
  <si>
    <t>https://www.aans.org/Patients/Neurosurgical-Conditions-and-Treatments/Traumatic-Brain-Injury#:~:text=Traumatic%20Brain%20Injury%20(TBI)%20is,skull%20and%20enters%20brain%20tissue.</t>
  </si>
  <si>
    <t>https://www.ncbi.nlm.nih.gov/books/NBK537328/</t>
  </si>
  <si>
    <t>Deafness, progressive vision loss</t>
  </si>
  <si>
    <t>Deafness, blindness</t>
  </si>
  <si>
    <t>https://medlineplus.gov/genetics/condition/usher-syndrome/</t>
  </si>
  <si>
    <t>Onset, 6-45; 40 years from onset</t>
  </si>
  <si>
    <t>Diet
Cuprimine, Depen (Penicillamine)
Syprine (Trientine)
Galzin (Zinc acetate) adjunct therapy
Liver transplantation</t>
  </si>
  <si>
    <t xml:space="preserve">
$165,000-$525,000 ($35,000-$105,000) (&gt;35kg)
$385,700 ($17,300)
$4,000 (3,180)
$812,500</t>
  </si>
  <si>
    <t xml:space="preserve">Liver disease, nervous system or psychiatric problems, Kayser-Fleischer ring, </t>
  </si>
  <si>
    <t>https://medlineplus.gov/genetics/condition/wilson-disease/</t>
  </si>
  <si>
    <t>https://www.mayoclinic.org/diseases-conditions/wilsons-disease/diagnosis-treatment/drc-20353256</t>
  </si>
  <si>
    <t>Untreated, 15-20 years</t>
  </si>
  <si>
    <t xml:space="preserve">Immune deficiency, microthrombocytopenia, </t>
  </si>
  <si>
    <t>https://medlineplus.gov/genetics/condition/wiskott-aldrich-syndrome/</t>
  </si>
  <si>
    <t>https://www.statpearls.com/kb/viewarticle/31375</t>
  </si>
  <si>
    <t>Wolman disease</t>
  </si>
  <si>
    <t>Untreated, &lt; 4 months;
Treated, 50% &gt;24 months</t>
  </si>
  <si>
    <t>Kanuma (sebelipase alfa)</t>
  </si>
  <si>
    <t>$69,350-$277,394 (5kg-20kg)</t>
  </si>
  <si>
    <t>Lipid accumulation, hepatosplenomegaly, jaundice, vomiting, diarrhea, steatorrhea, malabsorption</t>
  </si>
  <si>
    <t>https://medlineplus.gov/genetics/condition/lysosomal-acid-lipase-deficiency/</t>
  </si>
  <si>
    <t>https://ojrd.biomedcentral.com/articles/10.1186/s13023-017-0587-3</t>
  </si>
  <si>
    <t>28% ded during 2 year follow up after presentation</t>
  </si>
  <si>
    <t>Dressings
Compression stockings and compression bandages
Antibiotics
Hyperbaric oxygen therapy
Ultrasound and electromagnetic therapy
Negative pressure wound therapy
Skin grafts</t>
  </si>
  <si>
    <t>$20,900-$151,700 per pressure ulcer (+ $43,180 p.a. )
DFU $29,373
$43,000 venous ulcer</t>
  </si>
  <si>
    <t xml:space="preserve">Chronic wounds last on average 12 to 13 months, recur in up to 60% to 70% of patients. </t>
  </si>
  <si>
    <t>Diabetes, obesity, cardiovascular disease, peripheral vascular disease</t>
  </si>
  <si>
    <t>https://www.ncbi.nlm.nih.gov/books/NBK326436/</t>
  </si>
  <si>
    <t>https://www.ncbi.nlm.nih.gov/pmc/articles/PMC4528992/</t>
  </si>
  <si>
    <t>https://www.ncbi.nlm.nih.gov/pmc/articles/PMC2903966/</t>
  </si>
  <si>
    <t>https://www.liebertpub.com/doi/full/10.1089/wound.2019.0946</t>
  </si>
  <si>
    <t>https://www.azuravascularcare.com/infopad/diabetic-foot-amputation-stats/</t>
  </si>
  <si>
    <t>As per head &amp; neck cancers</t>
  </si>
  <si>
    <t>Saliva substitutes
Saliva stimulants: Pilocarpine, Cevimeline</t>
  </si>
  <si>
    <t>$4,165
$180-$15,978, $594-$2,877</t>
  </si>
  <si>
    <t>Dry mouth (after radiation therapy for head &amp; neck cancers)</t>
  </si>
  <si>
    <t>Dry mouth</t>
  </si>
  <si>
    <t>https://www.ncbi.nlm.nih.gov/pmc/articles/PMC4325830/</t>
  </si>
  <si>
    <t>https://www.ncbi.nlm.nih.gov/pmc/articles/PMC4160670/</t>
  </si>
  <si>
    <t>Pricing information primarily from:</t>
  </si>
  <si>
    <t>https://www.goodrx.com/</t>
  </si>
  <si>
    <t>https://www.drugs.com/price-guide/</t>
  </si>
  <si>
    <t>(prices accessed between 8/1/2020 and 9/31/2020)</t>
  </si>
  <si>
    <t>Dosing information primarily from:</t>
  </si>
  <si>
    <t>https://reference.medscape.com/drug/</t>
  </si>
  <si>
    <t>(also from individual drug websites)</t>
  </si>
  <si>
    <t>Transplant costs from:</t>
  </si>
  <si>
    <t>Other sources may be referenced individually</t>
  </si>
  <si>
    <t>A</t>
  </si>
  <si>
    <t>B</t>
  </si>
  <si>
    <t>C</t>
  </si>
  <si>
    <t>O</t>
  </si>
  <si>
    <t>P</t>
  </si>
  <si>
    <t>Q</t>
  </si>
  <si>
    <t>R</t>
  </si>
  <si>
    <t>Impact on life expectancy</t>
  </si>
  <si>
    <t>Age at onset</t>
  </si>
  <si>
    <t xml:space="preserve"> 40-60</t>
  </si>
  <si>
    <t>Type 1, 68 (90%);
Type 2, 5-10;
Type 3, 30-50</t>
  </si>
  <si>
    <t>Type 1, 2-6; 
Type 2, 10-30, 
Type 3, 30-50</t>
  </si>
  <si>
    <t xml:space="preserve">Adult  </t>
  </si>
  <si>
    <t>Adult</t>
  </si>
  <si>
    <t>Severe - 10-20; 
Mild - adulthood</t>
  </si>
  <si>
    <t>late childhood (Hurler syndrome)
adulthood (Scheie syndrome</t>
  </si>
  <si>
    <t>May be reduced</t>
  </si>
  <si>
    <t xml:space="preserve">more than 50% &lt; 7 days
more than 80% &gt; 30 years </t>
  </si>
  <si>
    <t xml:space="preserve">Neo-natal (30%) 
Childhood (58%) + adult (12%) </t>
  </si>
  <si>
    <t xml:space="preserve"> 2-10</t>
  </si>
  <si>
    <t xml:space="preserve"> Age at diagnosis typically &gt; 60</t>
  </si>
  <si>
    <t>10-20 years after diagnosis (1-2 years less than "normal")</t>
  </si>
  <si>
    <t>M 66, F 68</t>
  </si>
  <si>
    <t>20-40 years</t>
  </si>
  <si>
    <t>7-12 years after onset</t>
  </si>
  <si>
    <t>4-10 years after onset</t>
  </si>
  <si>
    <t>typically 2-10 years after onset</t>
  </si>
  <si>
    <t>&lt; 10 years</t>
  </si>
  <si>
    <t>CLN1: early childhood
CLN2:  6-12
CLN3: 15-25
CLN6: 8-15</t>
  </si>
  <si>
    <t>Therapeutic options</t>
  </si>
  <si>
    <t>$375,000 ($750,000 first year), then $340,000,
$2,100,000
$100,000 - $340,000  (&lt;15lb - 44lb)</t>
  </si>
  <si>
    <t xml:space="preserve">
$300,000, 
$312,000, 
$310,000</t>
  </si>
  <si>
    <t>Childhood</t>
  </si>
  <si>
    <t>Advate, 
Eloctate, 
Hemlibra (inhibitor)</t>
  </si>
  <si>
    <t>$219,000, 
$469,000, 
$700,000</t>
  </si>
  <si>
    <t>Enzyme replacement therapy  - 
Aldurazyme (idursulfase)
Hematopoietic stem cell transplant</t>
  </si>
  <si>
    <t xml:space="preserve">
$99,400-$795,000 (10kg-80kg)
 $409,000</t>
  </si>
  <si>
    <t xml:space="preserve">
$128,885-$515,541 (20kg-80kg)
 $112,873-$451,492 (20kg-80kg)
$132,288-$529,153 (20kg-80kg)
$199,710, 
$185,510-$371,020 (20kg-80kg)</t>
  </si>
  <si>
    <t>At transplant</t>
  </si>
  <si>
    <t>Genetic (CYP21A2)
21-Hydroxylase deficiency
Newborn screening</t>
  </si>
  <si>
    <r>
      <t>Mean AoD 41.2 (</t>
    </r>
    <r>
      <rPr>
        <sz val="11"/>
        <color theme="1"/>
        <rFont val="Calibri"/>
        <family val="2"/>
      </rPr>
      <t>±26.9years)</t>
    </r>
  </si>
  <si>
    <t>Genetic (ABCD1)
Diagnosis: 4- 10 years</t>
  </si>
  <si>
    <t>Genetic (SERPINA1)
Diagnosis: Adult (30+)</t>
  </si>
  <si>
    <t>Genetic (CNGA3, CNGB3)
Diagnosis: 3 - 6 months</t>
  </si>
  <si>
    <t>Possibly genetic (C9orf72, SOD1, etc) 
Diagnosis: Adult</t>
  </si>
  <si>
    <t>Genetic (FANCA)
Diagnosis: Birth through early childhood</t>
  </si>
  <si>
    <t>Genetic (UBE3A)
Diagnosis 9 months - 6 years</t>
  </si>
  <si>
    <t>Genetic (SERPING1)
Diagnosis: 5 - 11 years</t>
  </si>
  <si>
    <t>Possibly genetic (APOE4, PSEN1, PSEN2, APP)
Adult</t>
  </si>
  <si>
    <t>Genetic (TTR)
Diagnosis: adult (typically &lt;40)</t>
  </si>
  <si>
    <t>Genetic (AADC)
Diagnosis: neonatal - 12 months</t>
  </si>
  <si>
    <t>Genetic (FXN)
Diagnosis: Late childhood</t>
  </si>
  <si>
    <t>Genetic (AR)
Diagnosis: Post-adolescent (neurological 30-50)</t>
  </si>
  <si>
    <t>mean AoD 65</t>
  </si>
  <si>
    <t>Genetic (ATXN3)
Diagnosis: 15-50 (mean 37)</t>
  </si>
  <si>
    <t>SCA3: 6-29 years after diagnosis (mean 21)</t>
  </si>
  <si>
    <t>Genetic (BBS1 - 23.4%, BBS2-10, CEP290)
Treatment (NR2E3 - 100%))
Diagnosis: Neonatal - childhood</t>
  </si>
  <si>
    <t>legally blind 40-50</t>
  </si>
  <si>
    <t>Genetic (CYP4V2)
Diagnosis: Adolescent - early adult</t>
  </si>
  <si>
    <t>Genetic (CLN1): Infantile
Genetic (CLN2): onset, 2-4
Genetic (CLN3): Onset 5-15
Genetic (CLN6): Late infantile</t>
  </si>
  <si>
    <t xml:space="preserve">
Usually &lt;10; teens/twenties possible
normal (condition often undiagnosed)</t>
  </si>
  <si>
    <t>Genetic (BAG3)
Diagnosis:  20-50; 80% penetrance &gt;40</t>
  </si>
  <si>
    <t>4.3% per year post diagnosis</t>
  </si>
  <si>
    <t>Genetic (CDKL5)
Diagnosis: Infant</t>
  </si>
  <si>
    <t>Genetic Type 1A (PMP22)
Diagnosis: Adolescence - early adult</t>
  </si>
  <si>
    <t>Genetic (CHM)
Diagnosis: Child, adolescent, adult</t>
  </si>
  <si>
    <t>Genetic (CYBB)
Diagnosis: Typically birth-5; occasionally 10-20</t>
  </si>
  <si>
    <t>Genetic (ASS1)
Diagnosis: Newborn screenig (type 1)</t>
  </si>
  <si>
    <t>Untreated: &lt;17 days; 
Treated: late adulthood</t>
  </si>
  <si>
    <t>Type 1, 10-20; 
Type 2, 15-40</t>
  </si>
  <si>
    <t xml:space="preserve">Genetic (ASPA)
Severe: Neonatal/infantile
Mild: juvenile
 </t>
  </si>
  <si>
    <t>Genetic (UGT1A1)
Diagnosis: Neonatal - infancy</t>
  </si>
  <si>
    <t xml:space="preserve">
$812,000</t>
  </si>
  <si>
    <t>Genetic (CFTR)
Diagnosis: 6-8 months</t>
  </si>
  <si>
    <t>Born in 2015 projected mean AoD 44 years
Born in 2005 projected mean AoD 37 years
Born in 1995 projected mean AoD 31 years</t>
  </si>
  <si>
    <t>Phototherapy (10-12 hours daily), Actigall® (ursodiol), phenobarbital, vitamin E, vitamin C, coenzyme Q, L-carnitine, and creatine
Liver transplant</t>
  </si>
  <si>
    <t>Low
$812,000</t>
  </si>
  <si>
    <t>Immediate release cysteamine, 
Procysbi (delayed release cysteamine), 
Kidney transplant</t>
  </si>
  <si>
    <t>$8,000, 
$308,982-$926,948 (10kg-50kg)
$414,800</t>
  </si>
  <si>
    <t>Genetic (CTNS)
Nephropathic: 6-18 months
intermediate: 8-20 years
non-nephropathic: Typically 40+ years</t>
  </si>
  <si>
    <t xml:space="preserve">
Untreated &lt;10; treated 50+
50+
normal</t>
  </si>
  <si>
    <t>Genetic (LAMP2)
Diagnosis: M 12.1 years; F 19.0 years</t>
  </si>
  <si>
    <t>Possibly genetic (C9orf72, GRN)
Diagnosis: 21-80 (majority 45-64)</t>
  </si>
  <si>
    <t xml:space="preserve"> 7-13 years post-diagnosis</t>
  </si>
  <si>
    <t xml:space="preserve"> 5-7 years post-diagnosis</t>
  </si>
  <si>
    <t>Genetic (SNCA, SNCB)
Diagnosis: 50+</t>
  </si>
  <si>
    <t>Possibly genetic - autoimmune
Diagnosis: 10-40 (14 mode)</t>
  </si>
  <si>
    <t>Genetic (LAMA2)
Early onset: Neonatal
onset: late childhood - aduthood</t>
  </si>
  <si>
    <t xml:space="preserve">
mean 20
 &lt; normal</t>
  </si>
  <si>
    <t>Genetic (Dystrophin)
Diagnosis: Infancy - childhood</t>
  </si>
  <si>
    <t>Normal
Normal
Unknown
Unknown
Unknown
Unknown
Normal</t>
  </si>
  <si>
    <t>Genetic Type 1 (DMPK) 
   Mild: 20-70
   Classical: 10-30
   Congenital: birth-10</t>
  </si>
  <si>
    <t xml:space="preserve">
normal
 48-55
Mean 45</t>
  </si>
  <si>
    <t>Genetic (PABPN1)
Diagnosis: Adult</t>
  </si>
  <si>
    <t>Diagnosis: Average 3 months</t>
  </si>
  <si>
    <t>Genetic (COL7A1)
Diagnosis: Birth</t>
  </si>
  <si>
    <t>Genetic (COL17A1)
Generalized severe: Birth
Generalized intermediate: Birth</t>
  </si>
  <si>
    <t xml:space="preserve">
Severe: 73% averaged 5 months
intermediate: normal</t>
  </si>
  <si>
    <t xml:space="preserve">
1-2 years after diagnosis
5-10 after diagnosis
10-20  after diagnosis
20-30 years after diagnosis</t>
  </si>
  <si>
    <t xml:space="preserve">
late childhood or adolescence
Adulthood</t>
  </si>
  <si>
    <t>Genetic (SMN1)
Type 1 - birth
Type 2 - infancy
Type 3 - 18 months - adolescence
Type 4 - early adulthood</t>
  </si>
  <si>
    <t xml:space="preserve">
Type 1 - 1-2 years
Type 2 - early adulthood
Type 3 - normal
Type 4 - normal</t>
  </si>
  <si>
    <t>Genetic (TCIRG1)
Diagnosis: Neonatal</t>
  </si>
  <si>
    <t>Any</t>
  </si>
  <si>
    <t>Genetic (GLA)
Diagnosis: Neonatal</t>
  </si>
  <si>
    <t>Genetic (DGKK)
Diagnosis: Neonatal</t>
  </si>
  <si>
    <t>Genetic (GBA)
Diagnosis: Neonatal</t>
  </si>
  <si>
    <t>Genetic (G6PC)
Diagnosis: Neonatal</t>
  </si>
  <si>
    <t>Genetic (GAA)
Diagnosis: Neonatal</t>
  </si>
  <si>
    <t>Genetic (GLB1)
Diagnosis: Neonatal</t>
  </si>
  <si>
    <t>Genetic (HEXA)
Diagnosis: Neonatal</t>
  </si>
  <si>
    <t>Genetic (CFH)
Diagnosis: Neonatal</t>
  </si>
  <si>
    <t>Genetic (hfIX)
Diagnosis: Neonatal</t>
  </si>
  <si>
    <t>Genetic (hfVIII)
Diagnosis: Neonatal</t>
  </si>
  <si>
    <t>Genetic (AGXT)
Diagnosis: Neonatal</t>
  </si>
  <si>
    <t>Genetic (LDLR)
Diagnosis: Neonatal</t>
  </si>
  <si>
    <t>Genetic (PAH)
Diagnosis: Neonatal</t>
  </si>
  <si>
    <t>Genetic (FOXP3)
Diagnosis: Neonatal</t>
  </si>
  <si>
    <t>Genetic (ITGB2)
Diagnosis: Neonatal</t>
  </si>
  <si>
    <t>Genetic (GALC)
Diagnosis: Neonatal</t>
  </si>
  <si>
    <t>Genetic (ARSA)
Infantile:
Late infantile (50-60%):
Juvenile (20-30%):
Adult (15-20%):</t>
  </si>
  <si>
    <t>Genetic (ATP7A)
Diagnosis: Neonatal</t>
  </si>
  <si>
    <t>Genetic (MMUT)
Diagnosis: Neonatal</t>
  </si>
  <si>
    <t>Genetic (NAGLU)
Diagnosis: Adolescence - early adulthood</t>
  </si>
  <si>
    <t>Genetic (SGSH)
Diagnosis: Adolescence - early adulthood</t>
  </si>
  <si>
    <t>Genetic (IDUA)
Severe: emergence - Infantile
Attenuated: emergence - childhood</t>
  </si>
  <si>
    <t>Genetic (IDS)
Severe: emergence - Infantile
Mild: emergence - childhood</t>
  </si>
  <si>
    <t>Genetic (ARSB)
Severe: Infantile
Mild: childhood</t>
  </si>
  <si>
    <t>Genetic (SNCA)
Diagnosis: 55-60 (range: 30-90)</t>
  </si>
  <si>
    <t xml:space="preserve">Diagnosis: 20-40; </t>
  </si>
  <si>
    <t>Genetic (MTM1)
Diagnosis: Neonatal</t>
  </si>
  <si>
    <t>Genetic (SPINK5)
Diagnosis: Neonatal</t>
  </si>
  <si>
    <t>Genetic (PIGA)
Diagnosis: Neonatal</t>
  </si>
  <si>
    <t>Genetic (PKLR)
Diagnosis: Neonatal</t>
  </si>
  <si>
    <t>Genetic (ABCB4)
Diagnosis: Neonatal</t>
  </si>
  <si>
    <t>Genetic (MECP2)
Diagnosis: Neonatal</t>
  </si>
  <si>
    <t>Genetic (ADA)
Diagnosis: Neonatal</t>
  </si>
  <si>
    <t>Genetic (DCLRE1C)
Diagnosis: Neonatal</t>
  </si>
  <si>
    <t>Genetic (IL2RG)
Diagnosis: Neonatal</t>
  </si>
  <si>
    <t>Genetic (MMP1)
Diagnosis: Neonatal</t>
  </si>
  <si>
    <t xml:space="preserve">Genetic (HBB, BCL11A)
Diagnosis: </t>
  </si>
  <si>
    <t xml:space="preserve">Genetic (USH2A)
Diagnosis: </t>
  </si>
  <si>
    <t>Genetic (ATP7B)
Diagnosis: Neonatal</t>
  </si>
  <si>
    <t>Genetic (WAS)
Diagnosis: Neonatal</t>
  </si>
  <si>
    <t>Genetic (LIPA)
Diagnosis: Neonatal</t>
  </si>
  <si>
    <t>Genetic (SERPINA1)
Diagnosis: Neonatal or &gt; 40</t>
  </si>
  <si>
    <t xml:space="preserve"> Diagnosis: 30-50 years</t>
  </si>
  <si>
    <t>10-30 years after diagnosis</t>
  </si>
  <si>
    <t>Genetic (TGM1)
Diagnosis: Neonatal</t>
  </si>
  <si>
    <t>Genetic (CEP290, RPE65)
Diagnosis: Infancy</t>
  </si>
  <si>
    <t>Genetic (ND1, ND4)
Diagnosis: ealy adulthood</t>
  </si>
  <si>
    <t>Symptoms</t>
  </si>
  <si>
    <t xml:space="preserve">Market Adjustment Tool </t>
  </si>
  <si>
    <t xml:space="preserve">Population Estimator Tool - Identification of disease incidence and prevalence specific to the genetic therapy and payer type. </t>
  </si>
  <si>
    <t xml:space="preserve">Therapy Impact Modeling Tool - Plan specific estimations of actuarial risks and financial burden based on costs of the population likely to be treated. </t>
  </si>
  <si>
    <t>The Payer- Individual Indication workbook consists of four pages for payer input:</t>
  </si>
  <si>
    <t xml:space="preserve">that will influence provider and patient decisions to treat and apply an adjustment for market penetration.  Inputs to estimate the product adoption curve may also be used to define treatment numbers.  </t>
  </si>
  <si>
    <r>
      <t xml:space="preserve">The </t>
    </r>
    <r>
      <rPr>
        <b/>
        <sz val="11"/>
        <color theme="1"/>
        <rFont val="Calibri"/>
        <family val="2"/>
        <scheme val="minor"/>
      </rPr>
      <t xml:space="preserve">Market Adjustment Tool </t>
    </r>
    <r>
      <rPr>
        <sz val="11"/>
        <color theme="1"/>
        <rFont val="Calibri"/>
        <family val="2"/>
        <scheme val="minor"/>
      </rPr>
      <t xml:space="preserve">helps stakeholders assess the portion of treatment eligible patients that will likely be treated.  Descriptions of the disease are to inform stakeholders of factors </t>
    </r>
  </si>
  <si>
    <t>Population Summary</t>
  </si>
  <si>
    <t>Step 1: Adjust for numbers of individuals likely to be treated from those actually eligible for treatment.</t>
  </si>
  <si>
    <t xml:space="preserve">Consider the data below to help in determining any adjustment to incident and prevalent populations. </t>
  </si>
  <si>
    <t xml:space="preserve">1. To what degree would the therapy's impact on life expectancy promote product demand? </t>
  </si>
  <si>
    <t>2. To what degree would symptom severity and impact on quality of life promote product demand?</t>
  </si>
  <si>
    <t>Therapeutic class</t>
  </si>
  <si>
    <t xml:space="preserve"> </t>
  </si>
  <si>
    <t xml:space="preserve">This workbook is a modeling tool for plan-specific estimates of the financial impact from  clinically eligible population seeking treatment.  It is based on disease specific inputs used in the  </t>
  </si>
  <si>
    <t xml:space="preserve"> impact on an organization. </t>
  </si>
  <si>
    <t xml:space="preserve">Market Adjustment Tool - Consideration of factors impacting treatment as the LIKELY TO BE TREATED population is expected to be smaller than the  treatment eligible population. </t>
  </si>
  <si>
    <t xml:space="preserve">Solution Prioritization Tool - Summarization of the therapy's financial impact and strategy considerations for payments. </t>
  </si>
  <si>
    <t>Worksheet Inputs</t>
  </si>
  <si>
    <t xml:space="preserve">Additional associated costs </t>
  </si>
  <si>
    <r>
      <t xml:space="preserve">The </t>
    </r>
    <r>
      <rPr>
        <b/>
        <sz val="11"/>
        <color theme="1"/>
        <rFont val="Calibri"/>
        <family val="2"/>
        <scheme val="minor"/>
      </rPr>
      <t>Population Estimator Tool</t>
    </r>
    <r>
      <rPr>
        <sz val="11"/>
        <color theme="1"/>
        <rFont val="Calibri"/>
        <family val="2"/>
        <scheme val="minor"/>
      </rPr>
      <t xml:space="preserve"> helps stakeholders assess the potential patient population associated with an indication that may be treated with gene or cell therapy. Subpopulations are to be selected for the cell or gene therapy of interest.  Inputs of payer type and payer size are possible to clarify an organization's potential for treatment of a patient. </t>
    </r>
  </si>
  <si>
    <r>
      <t xml:space="preserve">The </t>
    </r>
    <r>
      <rPr>
        <b/>
        <sz val="11"/>
        <color theme="1"/>
        <rFont val="Calibri"/>
        <family val="2"/>
        <scheme val="minor"/>
      </rPr>
      <t>Market Adjustment Tool</t>
    </r>
    <r>
      <rPr>
        <sz val="11"/>
        <color theme="1"/>
        <rFont val="Calibri"/>
        <family val="2"/>
        <scheme val="minor"/>
      </rPr>
      <t xml:space="preserve"> helps stakeholders assess the portion of treatment eligible patients that will likely be treated.  Descriptions of the disease are provided to inform stakeholders of factors that will influence provider and patient treatment decisions and apply an adjustment for market penetration.  Inputs to estimate the product adoption curve may also be adjusted to define treatment numbers. </t>
    </r>
  </si>
  <si>
    <r>
      <t xml:space="preserve">The </t>
    </r>
    <r>
      <rPr>
        <b/>
        <sz val="11"/>
        <color theme="1"/>
        <rFont val="Calibri"/>
        <family val="2"/>
        <scheme val="minor"/>
      </rPr>
      <t>Therapy Impact Modeling Tool</t>
    </r>
    <r>
      <rPr>
        <sz val="11"/>
        <color theme="1"/>
        <rFont val="Calibri"/>
        <family val="2"/>
        <scheme val="minor"/>
      </rPr>
      <t xml:space="preserve"> helps payers understand the expected per member per month (PMPM) impact the indication could have on a plan and its actuarial volatility.  Cost of therapy for a condition is pre-set based on historical data.  Stakeholder input allows for therapy costs to be overridden and to add additional costs such as administration.  The workbook may be set for display of the expected outcome or allow for randomized views of actuarial risk using the F9 function key.</t>
    </r>
  </si>
  <si>
    <r>
      <t>The</t>
    </r>
    <r>
      <rPr>
        <b/>
        <sz val="11"/>
        <color theme="1"/>
        <rFont val="Calibri"/>
        <family val="2"/>
        <scheme val="minor"/>
      </rPr>
      <t xml:space="preserve"> Solution Prioritization Tool</t>
    </r>
    <r>
      <rPr>
        <sz val="11"/>
        <color theme="1"/>
        <rFont val="Calibri"/>
        <family val="2"/>
        <scheme val="minor"/>
      </rPr>
      <t xml:space="preserve"> builds on the insights from the expected financial therapy impact as detailed  in the Therapy Impact Modeling Tool and on your organization’s preferences, to help you assess precision financing needs for your organization.  Based on the choices you make, the Solution Prioritization Tool suggests possible financing solutions.  Additional considerations for implementing the solution is also provided. </t>
    </r>
  </si>
  <si>
    <t>Modeling Tool</t>
  </si>
  <si>
    <t>Inputs to Prepare</t>
  </si>
  <si>
    <r>
      <rPr>
        <b/>
        <sz val="11"/>
        <color theme="1"/>
        <rFont val="Calibri"/>
        <family val="2"/>
        <scheme val="minor"/>
      </rPr>
      <t xml:space="preserve">Therapeutic class in review
Disease of interest
Genetic subpopulation of interest
Payer membership by line of business </t>
    </r>
    <r>
      <rPr>
        <sz val="11"/>
        <color theme="1"/>
        <rFont val="Calibri"/>
        <family val="2"/>
        <scheme val="minor"/>
      </rPr>
      <t xml:space="preserve"> </t>
    </r>
    <r>
      <rPr>
        <sz val="9"/>
        <color theme="1"/>
        <rFont val="Calibri"/>
        <family val="2"/>
        <scheme val="minor"/>
      </rPr>
      <t>(</t>
    </r>
    <r>
      <rPr>
        <i/>
        <sz val="9"/>
        <color theme="1"/>
        <rFont val="Calibri"/>
        <family val="2"/>
        <scheme val="minor"/>
      </rPr>
      <t>Medicare/Medicaid/Not Medicare or Medicaid)</t>
    </r>
  </si>
  <si>
    <t>Therapy cost per patient (default cost provided)
Additional associated costs
Additional contract offsets from rebates, secondary insurance, etc.</t>
  </si>
  <si>
    <r>
      <t>Bold -</t>
    </r>
    <r>
      <rPr>
        <sz val="11"/>
        <rFont val="Calibri"/>
        <family val="2"/>
        <scheme val="minor"/>
      </rPr>
      <t xml:space="preserve">required; </t>
    </r>
    <r>
      <rPr>
        <b/>
        <sz val="11"/>
        <color theme="5"/>
        <rFont val="Calibri"/>
        <family val="2"/>
        <scheme val="minor"/>
      </rPr>
      <t xml:space="preserve">Orange </t>
    </r>
    <r>
      <rPr>
        <b/>
        <sz val="11"/>
        <color theme="5" tint="-0.249977111117893"/>
        <rFont val="Calibri"/>
        <family val="2"/>
        <scheme val="minor"/>
      </rPr>
      <t>-</t>
    </r>
    <r>
      <rPr>
        <sz val="11"/>
        <color theme="1"/>
        <rFont val="Calibri"/>
        <family val="2"/>
        <scheme val="minor"/>
      </rPr>
      <t>optional input</t>
    </r>
  </si>
  <si>
    <t>Working knowledge of budget and cash flow implications unanticipated costs; 
Numbers of existing patients anticipated to seek treatment if evaluating a prevalent disease condition; 
Organizational desire/readiness for performance based contracting to protect financial outlay associated with therapy.</t>
  </si>
  <si>
    <t xml:space="preserve">MIT FoCUS' Pipeline Analysis Model. The worksheets sequentially address key aspects of a particular disease treated by a cell or gene therapy, to assess the treatment's potential financial </t>
  </si>
  <si>
    <t>The data you provide on the population estimator and market adjustment worksheets will be used as inputs to the therapy impact modeling tool that illustrates the impact on your business. This specific impact will be summarized on the solution prioritization tool to help suggest preferred financing solutions to consider based on the experiences of FoCUS members and pilots.</t>
  </si>
  <si>
    <r>
      <t xml:space="preserve">Please note on each worksheet:  </t>
    </r>
    <r>
      <rPr>
        <b/>
        <sz val="11"/>
        <rFont val="Calibri"/>
        <family val="2"/>
        <scheme val="minor"/>
      </rPr>
      <t>White</t>
    </r>
    <r>
      <rPr>
        <sz val="11"/>
        <rFont val="Calibri"/>
        <family val="2"/>
        <scheme val="minor"/>
      </rPr>
      <t xml:space="preserve"> cells are calculated cells and cannot be changed - they have been password protected; </t>
    </r>
    <r>
      <rPr>
        <b/>
        <sz val="11"/>
        <rFont val="Calibri"/>
        <family val="2"/>
        <scheme val="minor"/>
      </rPr>
      <t xml:space="preserve">Green </t>
    </r>
    <r>
      <rPr>
        <sz val="11"/>
        <rFont val="Calibri"/>
        <family val="2"/>
        <scheme val="minor"/>
      </rPr>
      <t xml:space="preserve">cells require user input; </t>
    </r>
    <r>
      <rPr>
        <b/>
        <sz val="11"/>
        <rFont val="Calibri"/>
        <family val="2"/>
        <scheme val="minor"/>
      </rPr>
      <t>Orange</t>
    </r>
    <r>
      <rPr>
        <sz val="11"/>
        <rFont val="Calibri"/>
        <family val="2"/>
        <scheme val="minor"/>
      </rPr>
      <t xml:space="preserve"> cells are optional user-input cells to override selected calculated assumptions</t>
    </r>
  </si>
  <si>
    <r>
      <rPr>
        <b/>
        <sz val="11"/>
        <color theme="5" tint="-0.249977111117893"/>
        <rFont val="Calibri"/>
        <family val="2"/>
        <scheme val="minor"/>
      </rPr>
      <t>Adjustment factor for market penetration of  less than 100%. 
Market adoption rate (default rate provided)
Plan specific numbers of patients to be treated, if known.</t>
    </r>
    <r>
      <rPr>
        <sz val="11"/>
        <color theme="5" tint="-0.249977111117893"/>
        <rFont val="Calibri"/>
        <family val="2"/>
        <scheme val="minor"/>
      </rPr>
      <t xml:space="preserve"> </t>
    </r>
    <r>
      <rPr>
        <sz val="11"/>
        <color theme="1"/>
        <rFont val="Calibri"/>
        <family val="2"/>
        <scheme val="minor"/>
      </rPr>
      <t xml:space="preserve"> </t>
    </r>
  </si>
  <si>
    <t xml:space="preserve">Indication   </t>
  </si>
  <si>
    <t xml:space="preserve">Plan Type   </t>
  </si>
  <si>
    <t xml:space="preserve">Plan Size   </t>
  </si>
  <si>
    <t>Plan type rate per 100,000 lives</t>
  </si>
  <si>
    <t>Therapeutic Cost (annual)</t>
  </si>
  <si>
    <r>
      <rPr>
        <u/>
        <sz val="11"/>
        <color theme="1"/>
        <rFont val="Calibri"/>
        <family val="2"/>
        <scheme val="minor"/>
      </rPr>
      <t>Incidence and Prevalence</t>
    </r>
    <r>
      <rPr>
        <sz val="11"/>
        <color theme="1"/>
        <rFont val="Calibri"/>
        <family val="2"/>
        <scheme val="minor"/>
      </rPr>
      <t>. The white cells below pull the estimated treated population from your work in Step 1 above.</t>
    </r>
  </si>
  <si>
    <t xml:space="preserve">These numbers reflect any adjustments made to the General Population incidence and prevalence rates for payer type  and/or market penetration projections..   </t>
  </si>
  <si>
    <t xml:space="preserve"> Payer Type Estimate per 100,000</t>
  </si>
  <si>
    <t>Plan specific patient volumes</t>
  </si>
  <si>
    <t>Plan Specific Patient Volume</t>
  </si>
  <si>
    <r>
      <t xml:space="preserve">This </t>
    </r>
    <r>
      <rPr>
        <b/>
        <sz val="11"/>
        <color theme="1"/>
        <rFont val="Calibri"/>
        <family val="2"/>
        <scheme val="minor"/>
      </rPr>
      <t>Therapy Impact Model</t>
    </r>
    <r>
      <rPr>
        <sz val="11"/>
        <color theme="1"/>
        <rFont val="Calibri"/>
        <family val="2"/>
        <scheme val="minor"/>
      </rPr>
      <t xml:space="preserve"> leverages the information from the Population Estimator and Market Adjustment Tools to show the potential impact of the selected therapy on the user's business.</t>
    </r>
  </si>
  <si>
    <t>Adjusted Population Summary</t>
  </si>
  <si>
    <t>Market Penetration Adjusted Rates</t>
  </si>
  <si>
    <t>Step 2:  Review the expected risk to your plan based on the assumptions above</t>
  </si>
  <si>
    <t xml:space="preserve">        95% of the Time,   Outcomes will not Exceed about…   </t>
  </si>
  <si>
    <t>User-entered prevalence</t>
  </si>
  <si>
    <t xml:space="preserve">For example, you might want to assume a more gradual ramp in, with fewer than 100% of eligible patients being treated in the early years. </t>
  </si>
  <si>
    <t xml:space="preserve">This workbook is a modeling tool to help users assess plan-specific estimates of the clinically eligible population seeking treatment based on MIT FoCUS' Pipeline Analysis Model.  </t>
  </si>
  <si>
    <t xml:space="preserve">Data is carried over from the Population Estimator Tool </t>
  </si>
  <si>
    <t xml:space="preserve">Plan specific patient volumes (Row 58) represent those that meet the eligibility criteria for treatment.  Market penetration adjusts the eligible patient volume to those likely to be treated. </t>
  </si>
  <si>
    <t xml:space="preserve">3. To what degree would alternative treatments or costs for current standard of care promote product demand? </t>
  </si>
  <si>
    <t>The model's default assumption is that 100% of eligible incident patients are treated each year and 100% of prevalent patients are treated in the first year. You may wish to modify theses assumptions.</t>
  </si>
  <si>
    <t>Do you want to use the default assumptions?</t>
  </si>
  <si>
    <t>Uptake assumptions for incident patients:</t>
  </si>
  <si>
    <t>Uptake assumption for prevalent patients:</t>
  </si>
  <si>
    <t>Prevalent Patients Treated, by Year (#)</t>
  </si>
  <si>
    <t>Total Patients Treated (#)</t>
  </si>
  <si>
    <t xml:space="preserve">  This is the number of years taken to treat all prevalent patients. (As far as possible the same number of patients will be treated each year.) The yearly schedule implied by your selection is shown below</t>
  </si>
  <si>
    <t>Incident Patients Treated, by Year (#)</t>
  </si>
  <si>
    <t>Expected Treated Patients Given Your Uptake/Adoption Assumptions</t>
  </si>
  <si>
    <t>Note that untreated incident patients each year are added to the prevalent pool</t>
  </si>
  <si>
    <t xml:space="preserve"> % Prevalent Patients Remaining Eligible</t>
  </si>
  <si>
    <t xml:space="preserve">  Most commonly this would be 100%. A lower percentage might be used to reflect mortality in the prevalent population.</t>
  </si>
  <si>
    <t>User Selected Values</t>
  </si>
  <si>
    <r>
      <rPr>
        <b/>
        <sz val="11"/>
        <color theme="1"/>
        <rFont val="Calibri"/>
        <family val="2"/>
        <scheme val="minor"/>
      </rPr>
      <t>Adoption Curve</t>
    </r>
    <r>
      <rPr>
        <sz val="11"/>
        <color theme="1"/>
        <rFont val="Calibri"/>
        <family val="2"/>
        <scheme val="minor"/>
      </rPr>
      <t xml:space="preserve"> </t>
    </r>
  </si>
  <si>
    <t>Adjusted Total US Prevelance per 100,000</t>
  </si>
  <si>
    <t>Adjusted Total US Incidence per 100,000</t>
  </si>
  <si>
    <t>Plan (# of patients)</t>
  </si>
  <si>
    <r>
      <t xml:space="preserve">Please note:  </t>
    </r>
    <r>
      <rPr>
        <b/>
        <sz val="11"/>
        <rFont val="Calibri"/>
        <family val="2"/>
        <scheme val="minor"/>
      </rPr>
      <t>White</t>
    </r>
    <r>
      <rPr>
        <sz val="11"/>
        <rFont val="Calibri"/>
        <family val="2"/>
        <scheme val="minor"/>
      </rPr>
      <t xml:space="preserve"> cells are  password protected; </t>
    </r>
    <r>
      <rPr>
        <b/>
        <sz val="11"/>
        <rFont val="Calibri"/>
        <family val="2"/>
        <scheme val="minor"/>
      </rPr>
      <t>Orange</t>
    </r>
    <r>
      <rPr>
        <sz val="11"/>
        <rFont val="Calibri"/>
        <family val="2"/>
        <scheme val="minor"/>
      </rPr>
      <t xml:space="preserve"> cells are optional user-input cells to override specific assumed or calculated values; Scrolling over </t>
    </r>
    <r>
      <rPr>
        <b/>
        <sz val="11"/>
        <rFont val="Calibri"/>
        <family val="2"/>
        <scheme val="minor"/>
      </rPr>
      <t>Pink</t>
    </r>
    <r>
      <rPr>
        <sz val="11"/>
        <rFont val="Calibri"/>
        <family val="2"/>
        <scheme val="minor"/>
      </rPr>
      <t xml:space="preserve"> cells provides further information.</t>
    </r>
  </si>
  <si>
    <t>Clinically relevant population</t>
  </si>
  <si>
    <r>
      <t xml:space="preserve">Please note:  </t>
    </r>
    <r>
      <rPr>
        <b/>
        <sz val="11"/>
        <rFont val="Calibri"/>
        <family val="2"/>
        <scheme val="minor"/>
      </rPr>
      <t>White</t>
    </r>
    <r>
      <rPr>
        <sz val="11"/>
        <rFont val="Calibri"/>
        <family val="2"/>
        <scheme val="minor"/>
      </rPr>
      <t xml:space="preserve"> cells are password protected; </t>
    </r>
    <r>
      <rPr>
        <b/>
        <sz val="11"/>
        <rFont val="Calibri"/>
        <family val="2"/>
        <scheme val="minor"/>
      </rPr>
      <t xml:space="preserve">Green </t>
    </r>
    <r>
      <rPr>
        <sz val="11"/>
        <rFont val="Calibri"/>
        <family val="2"/>
        <scheme val="minor"/>
      </rPr>
      <t xml:space="preserve">cells require user input; </t>
    </r>
    <r>
      <rPr>
        <b/>
        <sz val="11"/>
        <rFont val="Calibri"/>
        <family val="2"/>
        <scheme val="minor"/>
      </rPr>
      <t xml:space="preserve">Orange </t>
    </r>
    <r>
      <rPr>
        <sz val="11"/>
        <rFont val="Calibri"/>
        <family val="2"/>
        <scheme val="minor"/>
      </rPr>
      <t xml:space="preserve">cells are optional user-input cells to override specific assumed or calculated values; Scrolling over </t>
    </r>
    <r>
      <rPr>
        <b/>
        <sz val="11"/>
        <rFont val="Calibri"/>
        <family val="2"/>
        <scheme val="minor"/>
      </rPr>
      <t xml:space="preserve">Pink </t>
    </r>
    <r>
      <rPr>
        <sz val="11"/>
        <rFont val="Calibri"/>
        <family val="2"/>
        <scheme val="minor"/>
      </rPr>
      <t>cells provides further information.</t>
    </r>
  </si>
  <si>
    <r>
      <t>The</t>
    </r>
    <r>
      <rPr>
        <b/>
        <sz val="11"/>
        <rFont val="Calibri"/>
        <family val="2"/>
        <scheme val="minor"/>
      </rPr>
      <t xml:space="preserve"> Population Estimator Tool</t>
    </r>
    <r>
      <rPr>
        <sz val="11"/>
        <rFont val="Calibri"/>
        <family val="2"/>
        <scheme val="minor"/>
      </rPr>
      <t xml:space="preserve"> helps stakeholders assess the potential patient population associated with an indication that may be treated with gene or cell therapy. The Tool allows you to take FoCUS's estimated clinically-relevant national incidence and prevalence estimates and apply simple population ratios to get a sense of the potential number of patients in your plan for individual product indications. The Population Estimator Tool allows ratios based on total member population versus a selected population segment.</t>
    </r>
  </si>
  <si>
    <t xml:space="preserve">This data is carried over from the Market Adjustment  Tool </t>
  </si>
  <si>
    <t>Certain elements of the model may be modified by the user.</t>
  </si>
  <si>
    <t>Expected launch year for the therapy</t>
  </si>
  <si>
    <r>
      <t xml:space="preserve">  If</t>
    </r>
    <r>
      <rPr>
        <b/>
        <sz val="11"/>
        <color theme="1"/>
        <rFont val="Calibri"/>
        <family val="2"/>
        <scheme val="minor"/>
      </rPr>
      <t xml:space="preserve"> No</t>
    </r>
    <r>
      <rPr>
        <sz val="11"/>
        <color theme="1"/>
        <rFont val="Calibri"/>
        <family val="2"/>
        <scheme val="minor"/>
      </rPr>
      <t>, enter the expected launch year for the therapy below.</t>
    </r>
  </si>
  <si>
    <t xml:space="preserve">  It generally makes sense for estimates of therapy impact to begin with the launch year for the treatment of interest.</t>
  </si>
  <si>
    <t xml:space="preserve"> % of Prevalent Patient Pool Treated Each Year</t>
  </si>
  <si>
    <t>Detailed instructions on completing  this worksheet tool may be found here:  Individual Indication Workbook background</t>
  </si>
  <si>
    <t>Detailed instructions on completing  this worksheet tool may be found here:   Individual Indication Workbook background</t>
  </si>
  <si>
    <t xml:space="preserve">Detailed instructions on completing  this worksheet tool may be found here:  Individual Indication Workbook background  </t>
  </si>
  <si>
    <t>Text for Oncology in Market Adjustment Tool</t>
  </si>
  <si>
    <t>The degree of variability in patient demographic and disease profiles ​nullifies the ability to use the market penetration concepts applied in gene therapy for this indication.</t>
  </si>
  <si>
    <t>Cancer, leukaemia, NK/T-cell</t>
  </si>
  <si>
    <t>Cancer, CNS, lymphoma</t>
  </si>
  <si>
    <t>Cancer, endometrial</t>
  </si>
  <si>
    <t>Cancer, germ cell</t>
  </si>
  <si>
    <t>Cancer, leptomeningeal</t>
  </si>
  <si>
    <t>Cancer, medulloblastoma</t>
  </si>
  <si>
    <t>Cancer, sarcoma, osteo</t>
  </si>
  <si>
    <t>Cancer, vulvar</t>
  </si>
  <si>
    <t>Cancer, Wilms Tumor</t>
  </si>
  <si>
    <t>Heterozygous familial hypercholesterolaemia</t>
  </si>
  <si>
    <t>Anaemia, aplastic, unspecified</t>
  </si>
  <si>
    <t>Haemophilia A+ Inhibitor</t>
  </si>
  <si>
    <t>SCID, RAG1</t>
  </si>
  <si>
    <t>Telomere biology disorders</t>
  </si>
  <si>
    <t>Myasthenia gravis</t>
  </si>
  <si>
    <t>Neuropathy, giant axonal</t>
  </si>
  <si>
    <t>Uveitis</t>
  </si>
  <si>
    <t>Alzheimer's disease#BDNF</t>
  </si>
  <si>
    <t>BDNF</t>
  </si>
  <si>
    <t>Amyotrophic lateral sclerosis#CAR+T-reg</t>
  </si>
  <si>
    <t>Amyotrophic lateral sclerosis#HGF</t>
  </si>
  <si>
    <t>Anaemia, aplastic, unspecified#T-reg</t>
  </si>
  <si>
    <t>T-reg</t>
  </si>
  <si>
    <t>Angioedema, hereditary#SERPING1</t>
  </si>
  <si>
    <t>SERPING1</t>
  </si>
  <si>
    <t>Arthritis, osteo#Nkx3.2</t>
  </si>
  <si>
    <t>Nkx3.2</t>
  </si>
  <si>
    <t>CLN5</t>
  </si>
  <si>
    <t>CLN7</t>
  </si>
  <si>
    <t>Cancer, biliary#Neoantigen</t>
  </si>
  <si>
    <t>Cancer, bladder#NY-ESO-1</t>
  </si>
  <si>
    <t>Cancer, brain#B7H3</t>
  </si>
  <si>
    <t>Cancer, breast#KK-LC-1</t>
  </si>
  <si>
    <t>KK-LC-1</t>
  </si>
  <si>
    <t>Cancer, breast#MAGE-A1</t>
  </si>
  <si>
    <t>Cancer, breast#Mesothelin+PD-L1</t>
  </si>
  <si>
    <t>Mesothelin+PD-L1</t>
  </si>
  <si>
    <t>Cancer, breast#PD-L1</t>
  </si>
  <si>
    <t>Cancer, cervical#CD70</t>
  </si>
  <si>
    <t>Cancer, cervical#HPV16</t>
  </si>
  <si>
    <t>Cancer, cervical#KK-LC-1</t>
  </si>
  <si>
    <t>Cancer, CNS#CD19+CD28+CD3zeta</t>
  </si>
  <si>
    <t>Cancer, CNS, lymphoma#CD19</t>
  </si>
  <si>
    <t>Cancer, colorectal#GCC</t>
  </si>
  <si>
    <t>GCC</t>
  </si>
  <si>
    <t>Cancer, colorectal#KRAS</t>
  </si>
  <si>
    <t>KRAS</t>
  </si>
  <si>
    <t>Cancer, colorectal#Mesothelin+PD-L1</t>
  </si>
  <si>
    <t>Cancer, colorectal#MUC1</t>
  </si>
  <si>
    <t>Cancer, colorectal#Neoantigen</t>
  </si>
  <si>
    <t>Cancer, endometrial#Neoantigen</t>
  </si>
  <si>
    <t>Cancer, fallopian tube#MUC16+IL-15</t>
  </si>
  <si>
    <t>MUC16+IL-15</t>
  </si>
  <si>
    <t>Cancer, gastrointestinal#KRAS</t>
  </si>
  <si>
    <t>Cancer, germ cell#CD30</t>
  </si>
  <si>
    <t>Cancer, head and neck#HPV16</t>
  </si>
  <si>
    <t>Cancer, head and neck#MUC1</t>
  </si>
  <si>
    <t>Cancer, leptomeningeal#IL13Ra2</t>
  </si>
  <si>
    <t>Cancer, leukaemia, acute lymphocytic#BAFFR</t>
  </si>
  <si>
    <t>BAFFR</t>
  </si>
  <si>
    <t>Cancer, leukaemia, acute lymphocytic#CD19+CD20+CD22</t>
  </si>
  <si>
    <t>Cancer, leukaemia, acute lymphocytic#CD7</t>
  </si>
  <si>
    <t>Cancer, leukaemia, acute lymphocytic#Non-identified+antigen</t>
  </si>
  <si>
    <t>Cancer, leukaemia, acute myelogenous#CLL1</t>
  </si>
  <si>
    <t>CLL1</t>
  </si>
  <si>
    <t>Cancer, leukaemia, acute myelogenous#GD2</t>
  </si>
  <si>
    <t>Cancer, leukaemia, acute myelogenous#WT1</t>
  </si>
  <si>
    <t>WT1</t>
  </si>
  <si>
    <t>Cancer, leukaemia, acute myelogenous#WT1+PRAME+Survivin</t>
  </si>
  <si>
    <t>WT1+PRAME+Survivin</t>
  </si>
  <si>
    <t>Cancer, leukaemia, chronic lymphocytic#CD19+CD22</t>
  </si>
  <si>
    <t>CD5</t>
  </si>
  <si>
    <t>Cancer, lung, non-small cell#IL-15+PD-L1</t>
  </si>
  <si>
    <t>IL-15+PD-L1</t>
  </si>
  <si>
    <t>Cancer, lymphoma, B-cell#CD19+CD20</t>
  </si>
  <si>
    <t>Cancer, lymphoma, B-cell#CD19+CD20+CD22</t>
  </si>
  <si>
    <t>Cancer, lymphoma, B-cell#CD19+CD22</t>
  </si>
  <si>
    <t>Cancer, lymphoma, B-cell#CD19+CMV</t>
  </si>
  <si>
    <t>Cancer, lymphoma, B-cell#CD19+EBV</t>
  </si>
  <si>
    <t>Cancer, lymphoma, B-cell, diffuse large#CD19+CD22</t>
  </si>
  <si>
    <t>Cancer, lymphoma, B-cell, diffuse large#CD19+CMV</t>
  </si>
  <si>
    <t>ROR1</t>
  </si>
  <si>
    <t>Cancer, lymphoma, Hodgkin's#CD30+CCR4</t>
  </si>
  <si>
    <t>Cancer, lymphoma, Hodgkin's#NY-ESO-1</t>
  </si>
  <si>
    <t>CD19+CMV</t>
  </si>
  <si>
    <t>Cancer, lymphoma, T-cell#CD30+CCR4</t>
  </si>
  <si>
    <t>Cancer, lymphoma, T-cell#CD5</t>
  </si>
  <si>
    <t>Cancer, lymphoma, T-cell#EBV</t>
  </si>
  <si>
    <t>Cancer, melanoma#NY-ESO-1</t>
  </si>
  <si>
    <t>Cancer, Merkel cell#MCPyV</t>
  </si>
  <si>
    <t>MCPyV</t>
  </si>
  <si>
    <t>Cancer, mesothelioma#Mesothelin+PD-L1</t>
  </si>
  <si>
    <t>Cancer, myeloma#BCMA+CD19</t>
  </si>
  <si>
    <t>Cancer, myeloma#BCMA+CD3</t>
  </si>
  <si>
    <t>Cancer, myeloma#BCMA+TACI</t>
  </si>
  <si>
    <t>Cancer, myeloma#CD19+BCMA</t>
  </si>
  <si>
    <t>Cancer, myeloma#G9D2</t>
  </si>
  <si>
    <t>G9D2</t>
  </si>
  <si>
    <t>Cancer, myeloma#GPRC5D+BCMA</t>
  </si>
  <si>
    <t>GPRC5D+BCMA</t>
  </si>
  <si>
    <t>Cancer, myeloma#MMG49</t>
  </si>
  <si>
    <t>MMG49</t>
  </si>
  <si>
    <t>Cancer, myeloma#WT-1</t>
  </si>
  <si>
    <t>Cancer, nasopharyngeal#MUC1</t>
  </si>
  <si>
    <t>Cancer, neoplasms#NY-ESO-1</t>
  </si>
  <si>
    <t>Cancer, neuroblastoma#NY-ESO-1</t>
  </si>
  <si>
    <t>Cancer, ovarian#aFR</t>
  </si>
  <si>
    <t>aFR</t>
  </si>
  <si>
    <t>Cancer, ovarian#B7H3</t>
  </si>
  <si>
    <t>Cancer, ovarian#CD8+IL-21</t>
  </si>
  <si>
    <t>Cancer, ovarian#FSH</t>
  </si>
  <si>
    <t>FSH</t>
  </si>
  <si>
    <t>Cancer, ovarian#Mesothelin+PD-L1</t>
  </si>
  <si>
    <t>Cancer, ovarian#Neoantigen</t>
  </si>
  <si>
    <t>Cancer, pancreatic#KRAS</t>
  </si>
  <si>
    <t>Cancer, pancreatic#Mesothelin+PD-L1</t>
  </si>
  <si>
    <t>Cancer, pancreatic#Neoantigen</t>
  </si>
  <si>
    <t>Cancer, pancreatic#PD-L1</t>
  </si>
  <si>
    <t>Cancer, peritoneal#Mesothelin+PD-L1</t>
  </si>
  <si>
    <t>Cancer, peritoneal#MUC16+IL-15</t>
  </si>
  <si>
    <t>Cancer, prostate#KLK2</t>
  </si>
  <si>
    <t>KLK2</t>
  </si>
  <si>
    <t>Cancer, renal#MUC1</t>
  </si>
  <si>
    <t>Cancer, rhabdomyosarcoma#GPC3</t>
  </si>
  <si>
    <t>Cancer, sarcoma, lipo#GPC3</t>
  </si>
  <si>
    <t>Cancer, sarcoma, osteo#FITC-E2</t>
  </si>
  <si>
    <t>FITC-E2</t>
  </si>
  <si>
    <t>Cancer, sarcoma, osteo#GD2</t>
  </si>
  <si>
    <t>Cancer, solid, unspecified#5T4</t>
  </si>
  <si>
    <t>5T4</t>
  </si>
  <si>
    <t>Cancer, solid, unspecified#CD28</t>
  </si>
  <si>
    <t>Cancer, solid, unspecified#CD70</t>
  </si>
  <si>
    <t>Cancer, solid, unspecified#EGFR+CD19</t>
  </si>
  <si>
    <t>Cancer, solid, unspecified#KRAS</t>
  </si>
  <si>
    <t>Cancer, solid, unspecified#MICA+MICB</t>
  </si>
  <si>
    <t>MICA+MICB</t>
  </si>
  <si>
    <t>Cancer, solid, unspecified#NKG2D</t>
  </si>
  <si>
    <t>Cancer, stomach#KK-LC-1</t>
  </si>
  <si>
    <t>Cancer, stomach#MUC1</t>
  </si>
  <si>
    <t>Cancer, thyroid#GFRa4</t>
  </si>
  <si>
    <t>GFRa4</t>
  </si>
  <si>
    <t>Cancer, urothelial#NY-ESO-1</t>
  </si>
  <si>
    <t>Cancer, vulvar#Neoantigen</t>
  </si>
  <si>
    <t>Cancer, Wilms Tumor#GPC3</t>
  </si>
  <si>
    <t>IGHMBP2</t>
  </si>
  <si>
    <t>Danon disease#LAMP2B</t>
  </si>
  <si>
    <t>LAMP2B</t>
  </si>
  <si>
    <t>Diabetes, Type 1#PEC210A</t>
  </si>
  <si>
    <t>PEC210A</t>
  </si>
  <si>
    <t>LAMB3</t>
  </si>
  <si>
    <t>Heart failure#SERCA2a</t>
  </si>
  <si>
    <t>SERCA2a</t>
  </si>
  <si>
    <t>Heterozygous familial hypercholesterolaemia#PCSK9</t>
  </si>
  <si>
    <t>PCSK9</t>
  </si>
  <si>
    <t>Leber's congenital amaurosis#GUCY2D</t>
  </si>
  <si>
    <t>GUCY2D</t>
  </si>
  <si>
    <t>BCMA+CD19</t>
  </si>
  <si>
    <t>Myasthenia gravis#BCMA</t>
  </si>
  <si>
    <t>Myasthenia gravis#MuSK</t>
  </si>
  <si>
    <t>MuSK</t>
  </si>
  <si>
    <t>Parkinson's disease#GAD</t>
  </si>
  <si>
    <t>GAD</t>
  </si>
  <si>
    <t>Retinitis pigmentosa#MCO</t>
  </si>
  <si>
    <t>MCO</t>
  </si>
  <si>
    <t>Retinitis pigmentosa#NR2E3</t>
  </si>
  <si>
    <t>Retinitis pigmentosa#PDE6A</t>
  </si>
  <si>
    <t>PDE6A</t>
  </si>
  <si>
    <t>SCID, RAG1#RAG1</t>
  </si>
  <si>
    <t>RAG1</t>
  </si>
  <si>
    <t>Telomere biology disorders#ZSCAN4</t>
  </si>
  <si>
    <t>ZSCAN4</t>
  </si>
  <si>
    <t>Uveitis#TNFα</t>
  </si>
  <si>
    <t>TNFα</t>
  </si>
  <si>
    <t>Wound healing#CXCL12</t>
  </si>
  <si>
    <t>CXCL12</t>
  </si>
  <si>
    <t>'PET Menu Driver'!</t>
  </si>
  <si>
    <t>Adjusted Plan-specific 
Total Prevalence</t>
  </si>
  <si>
    <t>Incidence %</t>
  </si>
  <si>
    <t>Incidence Yrs</t>
  </si>
  <si>
    <t>Prevelence %</t>
  </si>
  <si>
    <t>Prevalence Yrs</t>
  </si>
  <si>
    <t xml:space="preserve">Incidence
Modifier
</t>
  </si>
  <si>
    <t>You may override the default values by entering the % of treatment eligible patients you expect to be treated.</t>
  </si>
  <si>
    <t>Chronic Granulomatous Disease</t>
  </si>
  <si>
    <t>Cardiomyopathy, arrhythmogenic</t>
  </si>
  <si>
    <t>Aromatic L-amino Acid Decarboxylase Deficiency</t>
  </si>
  <si>
    <t>Charcotte Marie Tooth, Type 2S</t>
  </si>
  <si>
    <t>Adrenomyeloneuropathy</t>
  </si>
  <si>
    <t>Epidermolysis Bullosa Dystrophic Recessive</t>
  </si>
  <si>
    <t>Cardiomyopathy, hypertrophic</t>
  </si>
  <si>
    <t>Leukocyte Adhesion Deficiency</t>
  </si>
  <si>
    <t>Epidermolysis Bullosa Junctional</t>
  </si>
  <si>
    <t>Fibrillation, atrial</t>
  </si>
  <si>
    <t>Hereditary spastic paraplegia</t>
  </si>
  <si>
    <t>Hereditary Pulmonary Alveolar Proteinosis</t>
  </si>
  <si>
    <t>Pearson Syndrome</t>
  </si>
  <si>
    <t>SCID-ADA</t>
  </si>
  <si>
    <t>Sickle Cell Disease</t>
  </si>
  <si>
    <t>SCID-X-linked</t>
  </si>
  <si>
    <t>Batten Disease CLN2</t>
  </si>
  <si>
    <t>Macular degeneration, age-related, wet, oedema, macular, diabetic</t>
  </si>
  <si>
    <t>Methylmalonic Acidaemia</t>
  </si>
  <si>
    <t>Cancer, lymphoma, B-cell, Burkitt</t>
  </si>
  <si>
    <t>Cancer, CNS, ependymoma</t>
  </si>
  <si>
    <t>Thalassemia, Beta</t>
  </si>
  <si>
    <t>Wiskott-Aldrich Syndrome</t>
  </si>
  <si>
    <t>Gaucher Disease Type 1</t>
  </si>
  <si>
    <t>Batten Disease CLN3</t>
  </si>
  <si>
    <t>Macular degeneration, age-related, wet, retinopathy, diabetic</t>
  </si>
  <si>
    <t>Gaucher Disease Type 2</t>
  </si>
  <si>
    <t>Batten Disease CLN5</t>
  </si>
  <si>
    <t>Primary Ciliary Dyskinesia</t>
  </si>
  <si>
    <t>Cancer, lymphoma, B-cell, follicular</t>
  </si>
  <si>
    <t>Gaucher Disease Type 3</t>
  </si>
  <si>
    <t>Batten Disease CLN7</t>
  </si>
  <si>
    <t>Cancer, lymphoma, B-cell, mantle cell</t>
  </si>
  <si>
    <t>Canavan Disease</t>
  </si>
  <si>
    <t>Cancer, lymphoma, B-cell, marginal zone</t>
  </si>
  <si>
    <t>GM1 Gangliosidosis</t>
  </si>
  <si>
    <t>Cancer, lymphoma, B-cell, small lymphocytic</t>
  </si>
  <si>
    <t>Cancer, gastroesophageal Junction</t>
  </si>
  <si>
    <t>Dravet Syndrome</t>
  </si>
  <si>
    <t>Mucopolysaccharidosis I</t>
  </si>
  <si>
    <t>Epilepsy, drug-resistant mesial temporal lobe</t>
  </si>
  <si>
    <t>Mucopolysaccharidosis II</t>
  </si>
  <si>
    <t>Fabry Disease</t>
  </si>
  <si>
    <t>Mucopolysaccharidosis IIIA</t>
  </si>
  <si>
    <t>Mucopolysaccharidosis VI</t>
  </si>
  <si>
    <t>Phenylketonuria</t>
  </si>
  <si>
    <t>Muscular Atrophy, Spinal</t>
  </si>
  <si>
    <t>Pompe Disease1</t>
  </si>
  <si>
    <t>Cancer, lung</t>
  </si>
  <si>
    <t>Sandhoff Disease</t>
  </si>
  <si>
    <t>Tay-Sachs Disease</t>
  </si>
  <si>
    <t>Adrenomyeloneuropathy#ABCD1</t>
  </si>
  <si>
    <t>CAR+T-reg</t>
  </si>
  <si>
    <t>Aromatic L-amino Acid Decarboxylase Deficiency#AADC</t>
  </si>
  <si>
    <t>Batten Disease CLN2#CLN2</t>
  </si>
  <si>
    <t>Batten Disease CLN3#CLN3</t>
  </si>
  <si>
    <t>Batten Disease CLN5#CLN5</t>
  </si>
  <si>
    <t>Batten Disease CLN7#CLN7</t>
  </si>
  <si>
    <t>Canavan Disease#ASPA</t>
  </si>
  <si>
    <t>Cancer, brain#B7-H3</t>
  </si>
  <si>
    <t>B7-H3</t>
  </si>
  <si>
    <t>Cancer, breast#ROR1</t>
  </si>
  <si>
    <t>Cancer, breast#TP53</t>
  </si>
  <si>
    <t>TP53</t>
  </si>
  <si>
    <t>Cancer, CNS#B7-H3+EGFR806+HER2+IL13-zetakine</t>
  </si>
  <si>
    <t>B7-H3+EGFR806+HER2+IL13-zetakine</t>
  </si>
  <si>
    <t>Cancer, CNS, ependymoma#B7-H3</t>
  </si>
  <si>
    <t>Cancer, colorectal#KRASG12V</t>
  </si>
  <si>
    <t>KRASG12V</t>
  </si>
  <si>
    <t>Cancer, colorectal#LGR5</t>
  </si>
  <si>
    <t>LGR5</t>
  </si>
  <si>
    <t>Cancer, colorectal#TP53</t>
  </si>
  <si>
    <t>Cancer, gastroesophageal Junction#MAGE-A4</t>
  </si>
  <si>
    <t>Cancer, glioblastoma#B7-H3</t>
  </si>
  <si>
    <t>Cancer, glioma#B7-H3</t>
  </si>
  <si>
    <t>Cancer, glioma#B7-H3+EGFR806+HER2+IL13-zetakine</t>
  </si>
  <si>
    <t>Cancer, glioma#H3.3K27M</t>
  </si>
  <si>
    <t>H3.3K27M</t>
  </si>
  <si>
    <t>Cancer, head and neck#TP53</t>
  </si>
  <si>
    <t>Cancer, leukaemia, acute lymphocytic#CD1a</t>
  </si>
  <si>
    <t>CD1a</t>
  </si>
  <si>
    <t>Cancer, leukaemia, acute lymphocytic#ROR1</t>
  </si>
  <si>
    <t>Cancer, leukaemia, acute myelogenous#CD371</t>
  </si>
  <si>
    <t>CD371</t>
  </si>
  <si>
    <t>Cancer, leukaemia, chronic lymphocytic#CD19+20</t>
  </si>
  <si>
    <t>CD19+20</t>
  </si>
  <si>
    <t>Cancer, leukaemia, chronic lymphocytic#ROR1</t>
  </si>
  <si>
    <t>Cancer, leukaemia, NK/T-cell#CD19</t>
  </si>
  <si>
    <t>Cancer, lung#CD70</t>
  </si>
  <si>
    <t>Cancer, lung#HER2</t>
  </si>
  <si>
    <t>Cancer, lung#KK-LC-1</t>
  </si>
  <si>
    <t>Cancer, lung#KRASG12V</t>
  </si>
  <si>
    <t>Cancer, lung, non-small cell#CEA</t>
  </si>
  <si>
    <t>Cancer, lung, non-small cell#KRASG12V</t>
  </si>
  <si>
    <t>Cancer, lung, non-small cell#TP53</t>
  </si>
  <si>
    <t>Cancer, lymphoma, B-cell#BAFF</t>
  </si>
  <si>
    <t>BAFF</t>
  </si>
  <si>
    <t>Cancer, lymphoma, B-cell#CD19+20</t>
  </si>
  <si>
    <t>CD19+EBV</t>
  </si>
  <si>
    <t>Cancer, lymphoma, B-cell#CD1a</t>
  </si>
  <si>
    <t>Cancer, lymphoma, B-cell#CD79b</t>
  </si>
  <si>
    <t>CD79b</t>
  </si>
  <si>
    <t>Cancer, lymphoma, B-cell#CD79b+CD19</t>
  </si>
  <si>
    <t>CD79b+CD19</t>
  </si>
  <si>
    <t>Cancer, lymphoma, B-cell#ROR1</t>
  </si>
  <si>
    <t>Cancer, lymphoma, B-cell, Burkitt#CD19</t>
  </si>
  <si>
    <t>Cancer, lymphoma, B-cell, Burkitt#CD20</t>
  </si>
  <si>
    <t>Cancer, lymphoma, B-cell, diffuse large#CD22</t>
  </si>
  <si>
    <t>Cancer, lymphoma, B-cell, diffuse large#CD79b+CD19</t>
  </si>
  <si>
    <t>Cancer, lymphoma, B-cell, follicular#CD19</t>
  </si>
  <si>
    <t>Cancer, lymphoma, B-cell, follicular#CD20</t>
  </si>
  <si>
    <t>Cancer, lymphoma, B-cell, follicular#CD28</t>
  </si>
  <si>
    <t>Cancer, lymphoma, B-cell, follicular#CD79b+CD19</t>
  </si>
  <si>
    <t>Cancer, lymphoma, B-cell, mantle cell#BAFFR</t>
  </si>
  <si>
    <t>Cancer, lymphoma, B-cell, mantle cell#CD19</t>
  </si>
  <si>
    <t>Cancer, lymphoma, B-cell, mantle cell#CD19+CD20</t>
  </si>
  <si>
    <t>Cancer, lymphoma, B-cell, mantle cell#CD19+CMV</t>
  </si>
  <si>
    <t>Cancer, lymphoma, B-cell, mantle cell#CD20</t>
  </si>
  <si>
    <t>Cancer, lymphoma, B-cell, mantle cell#CD28</t>
  </si>
  <si>
    <t>Cancer, lymphoma, B-cell, mantle cell#CD79b+CD19</t>
  </si>
  <si>
    <t>Cancer, lymphoma, B-cell, marginal zone#CD19</t>
  </si>
  <si>
    <t>Cancer, lymphoma, B-cell, marginal zone#CD20</t>
  </si>
  <si>
    <t>Cancer, lymphoma, B-cell, marginal zone#CD28</t>
  </si>
  <si>
    <t>Cancer, lymphoma, B-cell, marginal zone#CD79b+CD19</t>
  </si>
  <si>
    <t>Cancer, lymphoma, B-cell, small lymphocytic#CD19</t>
  </si>
  <si>
    <t>Cancer, lymphoma, B-cell, small lymphocytic#CD20</t>
  </si>
  <si>
    <t>CD30+CCR4</t>
  </si>
  <si>
    <t>Cancer, medulloblastoma#B7-H3</t>
  </si>
  <si>
    <t>Cancer, melanoma#PRAME</t>
  </si>
  <si>
    <t>BCMA+CD3</t>
  </si>
  <si>
    <t>BCMA+TACI</t>
  </si>
  <si>
    <t>Cancer, neoplasms#B7-H3</t>
  </si>
  <si>
    <t>Cancer, oesophageal#CD70</t>
  </si>
  <si>
    <t>CD8+IL-21</t>
  </si>
  <si>
    <t>Cancer, pancreatic#CD70</t>
  </si>
  <si>
    <t>Cancer, pancreatic#Claudin18.2</t>
  </si>
  <si>
    <t>Claudin18.2</t>
  </si>
  <si>
    <t>Cancer, pancreatic#KRASG12V</t>
  </si>
  <si>
    <t>Cancer, pancreatic#TP53</t>
  </si>
  <si>
    <t>Cancer, solid, unspecified#Claudin18.2</t>
  </si>
  <si>
    <t>EGFR+CD19</t>
  </si>
  <si>
    <t>Cancer, solid, unspecified#TP53</t>
  </si>
  <si>
    <t>Cancer, stomach#Claudin18.2</t>
  </si>
  <si>
    <t>Cardiomyopathy, arrhythmogenic#PKP2</t>
  </si>
  <si>
    <t>PKP2</t>
  </si>
  <si>
    <t>Cardiomyopathy, hypertrophic#MYBPC3</t>
  </si>
  <si>
    <t>MYBPC3</t>
  </si>
  <si>
    <t>Charcotte Marie Tooth, Type 2S#IGHMBP2</t>
  </si>
  <si>
    <t>Chronic Granulomatous Disease#NCF1</t>
  </si>
  <si>
    <t>NCF1</t>
  </si>
  <si>
    <t>Dravet Syndrome#SCN1A</t>
  </si>
  <si>
    <t>SCN1A</t>
  </si>
  <si>
    <t>Epilepsy, drug-resistant mesial temporal lobe#GRIK2</t>
  </si>
  <si>
    <t>GRIK2</t>
  </si>
  <si>
    <t>Fabry Disease#GLA</t>
  </si>
  <si>
    <t>Fibrillation, atrial#KNCH2-G628S</t>
  </si>
  <si>
    <t>KNCH2-G628S</t>
  </si>
  <si>
    <t>Gaucher Disease Type 1#GBA</t>
  </si>
  <si>
    <t>Gaucher Disease Type 2#GBA</t>
  </si>
  <si>
    <t>Gaucher Disease Type 3#GBA</t>
  </si>
  <si>
    <t>GM1 Gangliosidosis#GLB1</t>
  </si>
  <si>
    <t>fVIII</t>
  </si>
  <si>
    <t>fIX</t>
  </si>
  <si>
    <t>Hearing loss#OTOF</t>
  </si>
  <si>
    <t>OTOF</t>
  </si>
  <si>
    <t>Hereditary Pulmonary Alveolar Proteinosis#CSF2RA</t>
  </si>
  <si>
    <t>CSF2RA</t>
  </si>
  <si>
    <t>Hereditary spastic paraplegia#AP4M1</t>
  </si>
  <si>
    <t>AP4M1</t>
  </si>
  <si>
    <t>Leber's congenital amaurosis#LCA5</t>
  </si>
  <si>
    <t>LCA5</t>
  </si>
  <si>
    <t>Leukocyte Adhesion Deficiency#ITGB2</t>
  </si>
  <si>
    <t>Macular degeneration, age-related, wet#VEGF-Fc+ANG2</t>
  </si>
  <si>
    <t>VEGF-Fc+ANG2</t>
  </si>
  <si>
    <t>Macular degeneration, age-related, wet, oedema, macular, diabetic#anti-VEGF</t>
  </si>
  <si>
    <t>Macular degeneration, age-related, wet, retinopathy, diabetic#anti-VEGF</t>
  </si>
  <si>
    <t>Macular degeneration, juvenile, Stargardt's Disease#MCO</t>
  </si>
  <si>
    <t>Macular degeneration, juvenile, Stargardt's Disease#RORA</t>
  </si>
  <si>
    <t>Methylmalonic Acidaemia#MMUT</t>
  </si>
  <si>
    <t>Mucopolysaccharidosis I#IDUA</t>
  </si>
  <si>
    <t>Mucopolysaccharidosis II#IDS</t>
  </si>
  <si>
    <t>Mucopolysaccharidosis IIIA#SGSH</t>
  </si>
  <si>
    <t>Mucopolysaccharidosis VI#ARSB</t>
  </si>
  <si>
    <t>Multiple system atrophy#GDNF</t>
  </si>
  <si>
    <t>Muscular Atrophy, Spinal#IGHMBP2</t>
  </si>
  <si>
    <t>Muscular Atrophy, Spinal#SMN1</t>
  </si>
  <si>
    <t>Neuropathy, giant axonal#GAN</t>
  </si>
  <si>
    <t>GAN</t>
  </si>
  <si>
    <t>Pearson Syndrome#mRNA</t>
  </si>
  <si>
    <t>mRNA</t>
  </si>
  <si>
    <t>Phenylketonuria#PAH</t>
  </si>
  <si>
    <t>Pompe Disease1#GAA</t>
  </si>
  <si>
    <t>Primary Ciliary Dyskinesia#DNAI1</t>
  </si>
  <si>
    <t>DNAI1</t>
  </si>
  <si>
    <t>Retinitis pigmentosa#CNGA1</t>
  </si>
  <si>
    <t>CNGA1</t>
  </si>
  <si>
    <t>Retinitis pigmentosa#RHO+PDE6A+PDE6B</t>
  </si>
  <si>
    <t>RHO+PDE6A+PDE6B</t>
  </si>
  <si>
    <t>Sandhoff Disease#HEXB</t>
  </si>
  <si>
    <t>HEXB</t>
  </si>
  <si>
    <t>SCID-ADA#ADA</t>
  </si>
  <si>
    <t>ADA</t>
  </si>
  <si>
    <t>SCID-X-linked#IL2RG</t>
  </si>
  <si>
    <t>IL2RG</t>
  </si>
  <si>
    <t>Sickle Cell Disease#BCL11A</t>
  </si>
  <si>
    <t>Sickle Cell Disease#HBB</t>
  </si>
  <si>
    <t>Sickle Cell Disease#Y-Globin</t>
  </si>
  <si>
    <t>Tay-Sachs Disease#HEXA</t>
  </si>
  <si>
    <t>HEXA</t>
  </si>
  <si>
    <t>Thalassemia, Beta#BCL11A</t>
  </si>
  <si>
    <t>Thalassemia, Beta#HBB</t>
  </si>
  <si>
    <t>Wiskott-Aldrich Syndrome#WAS</t>
  </si>
  <si>
    <t>Epidermolysis Bullosa Dystrophic Recessive#COL7A1</t>
  </si>
  <si>
    <t>Epidermolysis Bullosa Junctional#LAMB3</t>
  </si>
  <si>
    <t>Haemophilia A#fVIII</t>
  </si>
  <si>
    <t>Haemophilia A+ Inhibitor#fVIII</t>
  </si>
  <si>
    <t>Haemophilia B#fIX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</si>
</sst>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3" formatCode="_(* #,##0.00_);_(* \(#,##0.00\);_(* &quot;-&quot;??_);_(@_)"/>
    <numFmt numFmtId="164" formatCode="_(* #,##0_);_(* \(#,##0\);_(* &quot;-&quot;??_);_(@_)"/>
    <numFmt numFmtId="165" formatCode="&quot;$&quot;#,##0.0_);[Red]\(&quot;$&quot;#,##0.0\)"/>
    <numFmt numFmtId="166" formatCode="0.0%"/>
    <numFmt numFmtId="167" formatCode="#,##0.0_);\(#,##0.0\)"/>
    <numFmt numFmtId="168" formatCode="0.0"/>
    <numFmt numFmtId="169" formatCode="&quot;$&quot;#,##0.00"/>
    <numFmt numFmtId="170" formatCode="&quot;$&quot;#,##0.0"/>
    <numFmt numFmtId="171" formatCode="&quot;$&quot;#,##0"/>
    <numFmt numFmtId="172" formatCode="#,##0.0"/>
  </numFmts>
  <fonts count="6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b/>
      <sz val="11"/>
      <color theme="0"/>
      <name val="Calibri"/>
      <family val="2"/>
      <scheme val="minor"/>
    </font>
    <font>
      <i/>
      <sz val="9"/>
      <color theme="1"/>
      <name val="Calibri"/>
      <family val="2"/>
      <scheme val="minor"/>
    </font>
    <font>
      <sz val="9"/>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4"/>
      <color theme="1"/>
      <name val="Calibri"/>
      <family val="2"/>
      <scheme val="minor"/>
    </font>
    <font>
      <u/>
      <sz val="11"/>
      <color theme="1"/>
      <name val="Calibri"/>
      <family val="2"/>
      <scheme val="minor"/>
    </font>
    <font>
      <b/>
      <i/>
      <sz val="11"/>
      <color theme="1"/>
      <name val="Calibri"/>
      <family val="2"/>
      <scheme val="minor"/>
    </font>
    <font>
      <i/>
      <sz val="9"/>
      <color rgb="FF00B0F0"/>
      <name val="Calibri"/>
      <family val="2"/>
      <scheme val="minor"/>
    </font>
    <font>
      <b/>
      <u/>
      <sz val="11"/>
      <color theme="1"/>
      <name val="Calibri"/>
      <family val="2"/>
      <scheme val="minor"/>
    </font>
    <font>
      <sz val="11"/>
      <color rgb="FF00B0F0"/>
      <name val="Calibri"/>
      <family val="2"/>
      <scheme val="minor"/>
    </font>
    <font>
      <sz val="9"/>
      <color indexed="81"/>
      <name val="Tahoma"/>
      <family val="2"/>
    </font>
    <font>
      <b/>
      <sz val="9"/>
      <color indexed="81"/>
      <name val="Tahoma"/>
      <family val="2"/>
    </font>
    <font>
      <i/>
      <sz val="9"/>
      <name val="Calibri"/>
      <family val="2"/>
      <scheme val="minor"/>
    </font>
    <font>
      <i/>
      <sz val="10"/>
      <color theme="1"/>
      <name val="Calibri"/>
      <family val="2"/>
      <scheme val="minor"/>
    </font>
    <font>
      <sz val="11"/>
      <color rgb="FF595959"/>
      <name val="Franklin Gothic Book"/>
      <family val="2"/>
    </font>
    <font>
      <u/>
      <sz val="11"/>
      <color theme="10"/>
      <name val="Calibri"/>
      <family val="2"/>
      <scheme val="minor"/>
    </font>
    <font>
      <sz val="11"/>
      <color theme="4"/>
      <name val="Calibri"/>
      <family val="2"/>
      <scheme val="minor"/>
    </font>
    <font>
      <b/>
      <sz val="11"/>
      <name val="Calibri"/>
      <family val="2"/>
      <scheme val="minor"/>
    </font>
    <font>
      <i/>
      <sz val="11"/>
      <name val="Calibri"/>
      <family val="2"/>
      <scheme val="minor"/>
    </font>
    <font>
      <b/>
      <sz val="11"/>
      <color rgb="FF272727"/>
      <name val="Neue-haas-grotesk-text"/>
    </font>
    <font>
      <b/>
      <sz val="22"/>
      <color rgb="FF357632"/>
      <name val="Neue-haas-grotesk-text"/>
    </font>
    <font>
      <sz val="8.8000000000000007"/>
      <color rgb="FF000000"/>
      <name val="Neue-haas-grotesk-text"/>
    </font>
    <font>
      <b/>
      <sz val="8.8000000000000007"/>
      <color rgb="FF357632"/>
      <name val="Neue-haas-grotesk-text"/>
    </font>
    <font>
      <sz val="10"/>
      <name val="Arial"/>
      <family val="2"/>
    </font>
    <font>
      <u/>
      <sz val="11"/>
      <color theme="11"/>
      <name val="Calibri"/>
      <family val="2"/>
      <scheme val="minor"/>
    </font>
    <font>
      <sz val="8"/>
      <name val="Calibri"/>
      <family val="2"/>
      <scheme val="minor"/>
    </font>
    <font>
      <b/>
      <u/>
      <sz val="14"/>
      <color theme="1"/>
      <name val="Calibri"/>
      <family val="2"/>
      <scheme val="minor"/>
    </font>
    <font>
      <b/>
      <u/>
      <sz val="14"/>
      <name val="Calibri"/>
      <family val="2"/>
      <scheme val="minor"/>
    </font>
    <font>
      <b/>
      <sz val="16"/>
      <color theme="1"/>
      <name val="Calibri"/>
      <family val="2"/>
      <scheme val="minor"/>
    </font>
    <font>
      <b/>
      <sz val="18"/>
      <color theme="1"/>
      <name val="Calibri"/>
      <family val="2"/>
      <scheme val="minor"/>
    </font>
    <font>
      <i/>
      <u/>
      <sz val="11"/>
      <name val="Calibri"/>
      <family val="2"/>
      <scheme val="minor"/>
    </font>
    <font>
      <sz val="11"/>
      <color theme="0"/>
      <name val="Calibri"/>
      <family val="2"/>
      <scheme val="minor"/>
    </font>
    <font>
      <sz val="11"/>
      <color rgb="FF000000"/>
      <name val="Calibri"/>
      <family val="2"/>
      <scheme val="minor"/>
    </font>
    <font>
      <sz val="12"/>
      <color theme="0"/>
      <name val="Calibri"/>
      <family val="2"/>
      <scheme val="minor"/>
    </font>
    <font>
      <sz val="10"/>
      <color theme="1"/>
      <name val="Calibri"/>
      <family val="2"/>
      <scheme val="minor"/>
    </font>
    <font>
      <sz val="9"/>
      <name val="Calibri"/>
      <family val="2"/>
      <scheme val="minor"/>
    </font>
    <font>
      <sz val="12"/>
      <color rgb="FF878787"/>
      <name val="Calibri"/>
      <family val="2"/>
      <scheme val="minor"/>
    </font>
    <font>
      <i/>
      <sz val="12"/>
      <color rgb="FF878787"/>
      <name val="Calibri"/>
      <family val="2"/>
      <scheme val="minor"/>
    </font>
    <font>
      <b/>
      <sz val="12"/>
      <color rgb="FF878787"/>
      <name val="Calibri"/>
      <family val="2"/>
      <scheme val="minor"/>
    </font>
    <font>
      <sz val="12"/>
      <color theme="1"/>
      <name val="Calibri"/>
      <family val="2"/>
      <scheme val="minor"/>
    </font>
    <font>
      <sz val="11"/>
      <color rgb="FF202020"/>
      <name val="Calibri"/>
      <family val="2"/>
      <scheme val="minor"/>
    </font>
    <font>
      <sz val="12"/>
      <name val="Calibri"/>
      <family val="2"/>
      <scheme val="minor"/>
    </font>
    <font>
      <sz val="11"/>
      <color theme="1"/>
      <name val="Calibri"/>
      <family val="2"/>
    </font>
    <font>
      <b/>
      <u/>
      <sz val="14"/>
      <color rgb="FF595959"/>
      <name val="Calibri"/>
      <family val="2"/>
      <scheme val="minor"/>
    </font>
    <font>
      <b/>
      <sz val="11"/>
      <color theme="5"/>
      <name val="Calibri"/>
      <family val="2"/>
      <scheme val="minor"/>
    </font>
    <font>
      <b/>
      <sz val="11"/>
      <color theme="5" tint="-0.249977111117893"/>
      <name val="Calibri"/>
      <family val="2"/>
      <scheme val="minor"/>
    </font>
    <font>
      <sz val="11"/>
      <color theme="5" tint="-0.249977111117893"/>
      <name val="Calibri"/>
      <family val="2"/>
      <scheme val="minor"/>
    </font>
    <font>
      <b/>
      <sz val="12"/>
      <name val="Calibri"/>
      <family val="2"/>
      <scheme val="minor"/>
    </font>
    <font>
      <i/>
      <sz val="10"/>
      <name val="Calibri"/>
      <family val="2"/>
      <scheme val="minor"/>
    </font>
    <font>
      <i/>
      <sz val="11"/>
      <color rgb="FFFF0000"/>
      <name val="Calibri"/>
      <family val="2"/>
      <scheme val="minor"/>
    </font>
    <font>
      <b/>
      <i/>
      <u/>
      <sz val="11"/>
      <name val="Calibri"/>
      <family val="2"/>
      <scheme val="minor"/>
    </font>
    <font>
      <u/>
      <sz val="14"/>
      <color theme="1"/>
      <name val="Calibri"/>
      <family val="2"/>
      <scheme val="minor"/>
    </font>
    <font>
      <b/>
      <i/>
      <sz val="11"/>
      <name val="Calibri"/>
      <family val="2"/>
      <scheme val="minor"/>
    </font>
    <font>
      <sz val="18"/>
      <color theme="1"/>
      <name val="Calibri"/>
      <family val="2"/>
      <scheme val="minor"/>
    </font>
    <font>
      <sz val="11"/>
      <name val="Calibri"/>
      <family val="2"/>
    </font>
  </fonts>
  <fills count="1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405DEE"/>
        <bgColor indexed="64"/>
      </patternFill>
    </fill>
    <fill>
      <patternFill patternType="solid">
        <fgColor rgb="FF405DEE"/>
        <bgColor theme="4"/>
      </patternFill>
    </fill>
    <fill>
      <patternFill patternType="solid">
        <fgColor theme="9" tint="-0.249977111117893"/>
        <bgColor indexed="64"/>
      </patternFill>
    </fill>
    <fill>
      <patternFill patternType="solid">
        <fgColor theme="5" tint="0.39997558519241921"/>
        <bgColor indexed="64"/>
      </patternFill>
    </fill>
    <fill>
      <patternFill patternType="solid">
        <fgColor rgb="FFFFFFFF"/>
        <bgColor rgb="FF000000"/>
      </patternFill>
    </fill>
  </fills>
  <borders count="43">
    <border>
      <left/>
      <right/>
      <top/>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theme="4" tint="0.39991454817346722"/>
      </right>
      <top style="thin">
        <color theme="4" tint="0.39991454817346722"/>
      </top>
      <bottom style="thin">
        <color theme="4" tint="0.39991454817346722"/>
      </bottom>
      <diagonal/>
    </border>
    <border>
      <left style="thin">
        <color auto="1"/>
      </left>
      <right style="thin">
        <color theme="4" tint="0.39991454817346722"/>
      </right>
      <top style="thin">
        <color auto="1"/>
      </top>
      <bottom style="thin">
        <color auto="1"/>
      </bottom>
      <diagonal/>
    </border>
    <border>
      <left style="thin">
        <color theme="4" tint="0.39991454817346722"/>
      </left>
      <right style="thin">
        <color auto="1"/>
      </right>
      <top style="thin">
        <color auto="1"/>
      </top>
      <bottom style="thin">
        <color auto="1"/>
      </bottom>
      <diagonal/>
    </border>
    <border>
      <left style="thin">
        <color theme="4" tint="0.39991454817346722"/>
      </left>
      <right/>
      <top style="thin">
        <color theme="4" tint="0.39991454817346722"/>
      </top>
      <bottom style="thin">
        <color theme="4" tint="0.3999145481734672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right style="thin">
        <color auto="1"/>
      </right>
      <top/>
      <bottom/>
      <diagonal/>
    </border>
    <border>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right/>
      <top style="double">
        <color auto="1"/>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s>
  <cellStyleXfs count="182">
    <xf numFmtId="0" fontId="0" fillId="0" borderId="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472">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2" borderId="1" xfId="0" applyFill="1" applyBorder="1" applyAlignment="1">
      <alignment horizontal="center"/>
    </xf>
    <xf numFmtId="0" fontId="0" fillId="3" borderId="2" xfId="0"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2" borderId="1" xfId="0" applyFill="1" applyBorder="1"/>
    <xf numFmtId="0" fontId="1" fillId="2" borderId="0" xfId="0" applyFont="1" applyFill="1"/>
    <xf numFmtId="0" fontId="0" fillId="0" borderId="1" xfId="0" applyBorder="1"/>
    <xf numFmtId="0" fontId="1" fillId="2" borderId="1" xfId="0" applyFont="1" applyFill="1" applyBorder="1"/>
    <xf numFmtId="0" fontId="1" fillId="2" borderId="1" xfId="0" applyFont="1" applyFill="1" applyBorder="1" applyAlignment="1">
      <alignment horizontal="left" indent="1"/>
    </xf>
    <xf numFmtId="0" fontId="1" fillId="2" borderId="1" xfId="0" applyFont="1" applyFill="1" applyBorder="1" applyAlignment="1">
      <alignment horizontal="center" wrapText="1"/>
    </xf>
    <xf numFmtId="0" fontId="10" fillId="0" borderId="0" xfId="0" applyFont="1"/>
    <xf numFmtId="0" fontId="0" fillId="2" borderId="8" xfId="0" applyFill="1" applyBorder="1"/>
    <xf numFmtId="11" fontId="0" fillId="0" borderId="0" xfId="0" applyNumberFormat="1"/>
    <xf numFmtId="3" fontId="0" fillId="0" borderId="1" xfId="0" applyNumberFormat="1" applyBorder="1"/>
    <xf numFmtId="9" fontId="0" fillId="0" borderId="1" xfId="2" applyFont="1" applyBorder="1" applyAlignment="1">
      <alignment horizontal="center"/>
    </xf>
    <xf numFmtId="0" fontId="0" fillId="2" borderId="0" xfId="0" applyFill="1"/>
    <xf numFmtId="0" fontId="1" fillId="2" borderId="0" xfId="0" applyFont="1" applyFill="1" applyAlignment="1">
      <alignment horizontal="left" indent="1"/>
    </xf>
    <xf numFmtId="0" fontId="1" fillId="2" borderId="0" xfId="0" applyFont="1" applyFill="1" applyAlignment="1">
      <alignment horizontal="left" indent="2"/>
    </xf>
    <xf numFmtId="0" fontId="1" fillId="2" borderId="12" xfId="0" applyFont="1" applyFill="1" applyBorder="1" applyAlignment="1">
      <alignment horizontal="center" wrapText="1"/>
    </xf>
    <xf numFmtId="0" fontId="0" fillId="8" borderId="0" xfId="0" applyFill="1"/>
    <xf numFmtId="0" fontId="1" fillId="8" borderId="17" xfId="0" applyFont="1" applyFill="1" applyBorder="1"/>
    <xf numFmtId="0" fontId="0" fillId="8" borderId="18" xfId="0" applyFill="1" applyBorder="1"/>
    <xf numFmtId="0" fontId="1" fillId="8" borderId="0" xfId="0" applyFont="1" applyFill="1"/>
    <xf numFmtId="0" fontId="0" fillId="8" borderId="0" xfId="0" quotePrefix="1" applyFill="1"/>
    <xf numFmtId="0" fontId="0" fillId="2" borderId="3" xfId="0" applyFill="1" applyBorder="1"/>
    <xf numFmtId="0" fontId="0" fillId="2" borderId="9" xfId="0" applyFill="1" applyBorder="1"/>
    <xf numFmtId="0" fontId="0" fillId="2" borderId="4" xfId="0" applyFill="1" applyBorder="1"/>
    <xf numFmtId="0" fontId="0" fillId="8" borderId="19" xfId="0" applyFill="1" applyBorder="1"/>
    <xf numFmtId="0" fontId="0" fillId="8" borderId="12" xfId="0" applyFill="1" applyBorder="1"/>
    <xf numFmtId="0" fontId="0" fillId="8" borderId="7" xfId="0" applyFill="1" applyBorder="1"/>
    <xf numFmtId="0" fontId="0" fillId="2" borderId="19" xfId="0" applyFill="1" applyBorder="1" applyAlignment="1">
      <alignment horizontal="center"/>
    </xf>
    <xf numFmtId="0" fontId="0" fillId="2" borderId="11" xfId="0" applyFill="1" applyBorder="1"/>
    <xf numFmtId="0" fontId="0" fillId="2" borderId="10" xfId="0" applyFill="1" applyBorder="1"/>
    <xf numFmtId="0" fontId="0" fillId="2" borderId="20" xfId="0" applyFill="1" applyBorder="1"/>
    <xf numFmtId="0" fontId="0" fillId="2" borderId="12" xfId="0" applyFill="1" applyBorder="1" applyAlignment="1">
      <alignment horizontal="center"/>
    </xf>
    <xf numFmtId="0" fontId="0" fillId="2" borderId="21" xfId="0" applyFill="1" applyBorder="1"/>
    <xf numFmtId="0" fontId="0" fillId="2" borderId="22" xfId="0" applyFill="1" applyBorder="1"/>
    <xf numFmtId="0" fontId="0" fillId="2" borderId="7" xfId="0" applyFill="1" applyBorder="1" applyAlignment="1">
      <alignment horizontal="center"/>
    </xf>
    <xf numFmtId="0" fontId="0" fillId="0" borderId="0" xfId="0" quotePrefix="1" applyAlignment="1">
      <alignment horizontal="left"/>
    </xf>
    <xf numFmtId="3" fontId="0" fillId="2" borderId="1" xfId="0" applyNumberFormat="1" applyFill="1" applyBorder="1" applyAlignment="1">
      <alignment horizontal="center"/>
    </xf>
    <xf numFmtId="3" fontId="0" fillId="2" borderId="1" xfId="0" applyNumberFormat="1" applyFill="1" applyBorder="1"/>
    <xf numFmtId="0" fontId="0" fillId="6" borderId="1" xfId="0" applyFill="1" applyBorder="1" applyProtection="1">
      <protection locked="0"/>
    </xf>
    <xf numFmtId="0" fontId="0" fillId="6" borderId="7" xfId="0" applyFill="1" applyBorder="1" applyProtection="1">
      <protection locked="0"/>
    </xf>
    <xf numFmtId="9" fontId="0" fillId="6" borderId="1" xfId="2" applyFont="1" applyFill="1" applyBorder="1" applyAlignment="1" applyProtection="1">
      <alignment horizontal="center"/>
      <protection locked="0"/>
    </xf>
    <xf numFmtId="0" fontId="9" fillId="2" borderId="1" xfId="0" applyFont="1" applyFill="1" applyBorder="1" applyAlignment="1">
      <alignment horizontal="center"/>
    </xf>
    <xf numFmtId="0" fontId="3" fillId="2" borderId="1" xfId="0" applyFont="1" applyFill="1" applyBorder="1" applyAlignment="1">
      <alignment horizontal="center"/>
    </xf>
    <xf numFmtId="0" fontId="0" fillId="2" borderId="0" xfId="0" applyFill="1" applyAlignment="1">
      <alignment horizontal="center"/>
    </xf>
    <xf numFmtId="164" fontId="0" fillId="4" borderId="0" xfId="1" applyNumberFormat="1" applyFont="1" applyFill="1" applyBorder="1" applyProtection="1">
      <protection locked="0"/>
    </xf>
    <xf numFmtId="9" fontId="1" fillId="9" borderId="1" xfId="0" applyNumberFormat="1" applyFont="1" applyFill="1" applyBorder="1" applyAlignment="1" applyProtection="1">
      <alignment horizontal="center" wrapText="1"/>
      <protection locked="0"/>
    </xf>
    <xf numFmtId="0" fontId="23" fillId="0" borderId="0" xfId="0" applyFont="1"/>
    <xf numFmtId="0" fontId="20"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indent="1"/>
    </xf>
    <xf numFmtId="0" fontId="21" fillId="0" borderId="0" xfId="3" applyFill="1" applyAlignment="1">
      <alignment horizontal="left" vertical="center"/>
    </xf>
    <xf numFmtId="3" fontId="0" fillId="0" borderId="0" xfId="0" applyNumberFormat="1"/>
    <xf numFmtId="3" fontId="0" fillId="0" borderId="1" xfId="0" applyNumberFormat="1" applyBorder="1" applyAlignment="1">
      <alignment horizontal="center"/>
    </xf>
    <xf numFmtId="0" fontId="29" fillId="0" borderId="1" xfId="0" applyFont="1" applyBorder="1" applyAlignment="1">
      <alignment horizontal="left" vertical="top"/>
    </xf>
    <xf numFmtId="0" fontId="9" fillId="0" borderId="0" xfId="0" applyFont="1" applyAlignment="1">
      <alignment horizontal="left" wrapText="1"/>
    </xf>
    <xf numFmtId="0" fontId="0" fillId="0" borderId="0" xfId="0" applyAlignment="1">
      <alignment wrapText="1"/>
    </xf>
    <xf numFmtId="171" fontId="0" fillId="6" borderId="1" xfId="0" applyNumberFormat="1" applyFill="1" applyBorder="1" applyAlignment="1" applyProtection="1">
      <alignment horizontal="right"/>
      <protection locked="0"/>
    </xf>
    <xf numFmtId="3" fontId="0" fillId="2" borderId="1" xfId="0" applyNumberFormat="1" applyFill="1" applyBorder="1" applyAlignment="1">
      <alignment horizontal="center" wrapText="1"/>
    </xf>
    <xf numFmtId="0" fontId="1" fillId="11" borderId="0" xfId="0" applyFont="1" applyFill="1"/>
    <xf numFmtId="0" fontId="4" fillId="12" borderId="2" xfId="0" applyFont="1" applyFill="1" applyBorder="1"/>
    <xf numFmtId="0" fontId="4" fillId="11" borderId="0" xfId="0" applyFont="1" applyFill="1"/>
    <xf numFmtId="0" fontId="0" fillId="3" borderId="2" xfId="0" applyFill="1" applyBorder="1" applyAlignment="1">
      <alignment horizontal="center"/>
    </xf>
    <xf numFmtId="0" fontId="0" fillId="0" borderId="2" xfId="0" applyBorder="1" applyAlignment="1">
      <alignment horizontal="center"/>
    </xf>
    <xf numFmtId="0" fontId="4" fillId="11" borderId="0" xfId="0" applyFont="1" applyFill="1" applyAlignment="1">
      <alignment horizontal="center"/>
    </xf>
    <xf numFmtId="0" fontId="0" fillId="2" borderId="1" xfId="0" applyFill="1" applyBorder="1" applyAlignment="1">
      <alignment horizontal="center" wrapText="1"/>
    </xf>
    <xf numFmtId="3" fontId="0" fillId="0" borderId="24" xfId="0" applyNumberFormat="1" applyBorder="1" applyAlignment="1">
      <alignment wrapText="1"/>
    </xf>
    <xf numFmtId="172" fontId="0" fillId="0" borderId="0" xfId="0" applyNumberFormat="1"/>
    <xf numFmtId="0" fontId="0" fillId="2" borderId="0" xfId="0" applyFill="1" applyAlignment="1">
      <alignment horizontal="right"/>
    </xf>
    <xf numFmtId="0" fontId="4" fillId="12" borderId="2" xfId="0" applyFont="1" applyFill="1" applyBorder="1" applyAlignment="1">
      <alignment horizontal="center"/>
    </xf>
    <xf numFmtId="3" fontId="0" fillId="0" borderId="0" xfId="0" applyNumberFormat="1" applyAlignment="1">
      <alignment horizontal="right" indent="4"/>
    </xf>
    <xf numFmtId="3" fontId="0" fillId="2" borderId="1" xfId="0" applyNumberFormat="1" applyFill="1" applyBorder="1" applyAlignment="1">
      <alignment horizontal="right" indent="4"/>
    </xf>
    <xf numFmtId="6" fontId="0" fillId="0" borderId="0" xfId="0" applyNumberFormat="1" applyAlignment="1">
      <alignment horizontal="right" indent="4"/>
    </xf>
    <xf numFmtId="6" fontId="0" fillId="2" borderId="0" xfId="0" applyNumberFormat="1" applyFill="1" applyAlignment="1">
      <alignment horizontal="right" indent="4"/>
    </xf>
    <xf numFmtId="0" fontId="24" fillId="4" borderId="0" xfId="0" applyFont="1" applyFill="1" applyAlignment="1" applyProtection="1">
      <alignment horizontal="center"/>
      <protection locked="0"/>
    </xf>
    <xf numFmtId="0" fontId="9" fillId="4" borderId="1" xfId="0" applyFont="1" applyFill="1" applyBorder="1" applyProtection="1">
      <protection locked="0"/>
    </xf>
    <xf numFmtId="3" fontId="0" fillId="7" borderId="1" xfId="0" applyNumberFormat="1" applyFill="1" applyBorder="1"/>
    <xf numFmtId="0" fontId="41" fillId="8" borderId="0" xfId="0" applyFont="1" applyFill="1" applyAlignment="1">
      <alignment horizontal="center" vertical="center"/>
    </xf>
    <xf numFmtId="0" fontId="41" fillId="8" borderId="0" xfId="0" applyFont="1" applyFill="1" applyAlignment="1">
      <alignment horizontal="center"/>
    </xf>
    <xf numFmtId="0" fontId="4" fillId="11" borderId="1" xfId="0" applyFont="1" applyFill="1" applyBorder="1" applyAlignment="1">
      <alignment horizontal="center" wrapText="1"/>
    </xf>
    <xf numFmtId="0" fontId="7" fillId="0" borderId="0" xfId="0" applyFont="1" applyAlignment="1">
      <alignment horizontal="left"/>
    </xf>
    <xf numFmtId="0" fontId="9" fillId="0" borderId="0" xfId="0" applyFont="1"/>
    <xf numFmtId="0" fontId="0" fillId="10" borderId="0" xfId="0" applyFill="1"/>
    <xf numFmtId="0" fontId="0" fillId="0" borderId="1" xfId="0" applyBorder="1" applyAlignment="1">
      <alignment horizontal="center"/>
    </xf>
    <xf numFmtId="166" fontId="0" fillId="0" borderId="1" xfId="2" applyNumberFormat="1" applyFont="1" applyFill="1" applyBorder="1" applyAlignment="1" applyProtection="1">
      <alignment horizontal="center"/>
    </xf>
    <xf numFmtId="166" fontId="0" fillId="0" borderId="0" xfId="2" applyNumberFormat="1" applyFont="1" applyFill="1" applyBorder="1" applyAlignment="1" applyProtection="1">
      <alignment horizontal="center"/>
    </xf>
    <xf numFmtId="8" fontId="0" fillId="0" borderId="1" xfId="0" applyNumberFormat="1" applyBorder="1" applyAlignment="1">
      <alignment vertical="center"/>
    </xf>
    <xf numFmtId="8" fontId="0" fillId="0" borderId="0" xfId="0" applyNumberFormat="1" applyAlignment="1">
      <alignment vertical="center"/>
    </xf>
    <xf numFmtId="0" fontId="1" fillId="0" borderId="0" xfId="0" applyFont="1" applyAlignment="1">
      <alignment horizontal="right"/>
    </xf>
    <xf numFmtId="0" fontId="0" fillId="0" borderId="0" xfId="0" applyAlignment="1">
      <alignment horizontal="right"/>
    </xf>
    <xf numFmtId="165" fontId="0" fillId="0" borderId="1" xfId="0" applyNumberFormat="1" applyBorder="1"/>
    <xf numFmtId="165" fontId="0" fillId="0" borderId="5" xfId="0" applyNumberFormat="1" applyBorder="1"/>
    <xf numFmtId="8" fontId="0" fillId="0" borderId="1" xfId="0" applyNumberFormat="1" applyBorder="1"/>
    <xf numFmtId="8" fontId="0" fillId="0" borderId="5" xfId="0" applyNumberFormat="1" applyBorder="1"/>
    <xf numFmtId="8" fontId="0" fillId="0" borderId="0" xfId="0" applyNumberFormat="1"/>
    <xf numFmtId="8" fontId="1" fillId="0" borderId="0" xfId="0" applyNumberFormat="1" applyFont="1" applyAlignment="1">
      <alignment horizontal="right"/>
    </xf>
    <xf numFmtId="0" fontId="8" fillId="0" borderId="0" xfId="0" applyFont="1"/>
    <xf numFmtId="170" fontId="0" fillId="0" borderId="1" xfId="0" applyNumberFormat="1" applyBorder="1"/>
    <xf numFmtId="170" fontId="0" fillId="0" borderId="5" xfId="0" applyNumberFormat="1" applyBorder="1"/>
    <xf numFmtId="169" fontId="0" fillId="0" borderId="1" xfId="0" applyNumberFormat="1" applyBorder="1"/>
    <xf numFmtId="169" fontId="0" fillId="0" borderId="5" xfId="0" applyNumberFormat="1" applyBorder="1"/>
    <xf numFmtId="0" fontId="12" fillId="0" borderId="0" xfId="0" applyFont="1"/>
    <xf numFmtId="0" fontId="11" fillId="0" borderId="0" xfId="0" applyFont="1"/>
    <xf numFmtId="0" fontId="24" fillId="0" borderId="0" xfId="0" applyFont="1"/>
    <xf numFmtId="0" fontId="2" fillId="0" borderId="0" xfId="0" applyFont="1"/>
    <xf numFmtId="0" fontId="5" fillId="0" borderId="0" xfId="0" applyFont="1"/>
    <xf numFmtId="0" fontId="9" fillId="0" borderId="0" xfId="0" quotePrefix="1" applyFont="1"/>
    <xf numFmtId="0" fontId="15" fillId="0" borderId="0" xfId="0" applyFont="1"/>
    <xf numFmtId="0" fontId="0" fillId="0" borderId="0" xfId="0" applyAlignment="1">
      <alignment horizontal="left" wrapText="1" indent="1"/>
    </xf>
    <xf numFmtId="0" fontId="1" fillId="0" borderId="0" xfId="0" applyFont="1" applyAlignment="1">
      <alignment horizontal="center" wrapText="1"/>
    </xf>
    <xf numFmtId="0" fontId="37" fillId="0" borderId="0" xfId="0" applyFont="1"/>
    <xf numFmtId="0" fontId="42" fillId="0" borderId="0" xfId="0" applyFont="1" applyAlignment="1">
      <alignment wrapText="1"/>
    </xf>
    <xf numFmtId="0" fontId="0" fillId="0" borderId="0" xfId="0" applyAlignment="1">
      <alignment horizontal="center" vertical="center"/>
    </xf>
    <xf numFmtId="0" fontId="37" fillId="5" borderId="0" xfId="0" applyFont="1" applyFill="1"/>
    <xf numFmtId="0" fontId="0" fillId="0" borderId="0" xfId="0" applyAlignment="1">
      <alignment horizontal="left" vertical="center" wrapText="1"/>
    </xf>
    <xf numFmtId="0" fontId="0" fillId="0" borderId="25" xfId="0" applyBorder="1" applyAlignment="1">
      <alignment wrapText="1"/>
    </xf>
    <xf numFmtId="0" fontId="0" fillId="0" borderId="25" xfId="0" applyBorder="1" applyAlignment="1">
      <alignment horizontal="center" vertical="center"/>
    </xf>
    <xf numFmtId="0" fontId="0" fillId="0" borderId="28" xfId="0" applyBorder="1" applyAlignment="1">
      <alignment horizontal="center" wrapText="1"/>
    </xf>
    <xf numFmtId="0" fontId="0" fillId="0" borderId="28" xfId="0" applyBorder="1" applyAlignment="1">
      <alignment horizontal="center" vertical="center" wrapText="1"/>
    </xf>
    <xf numFmtId="0" fontId="9" fillId="0" borderId="0" xfId="0" applyFont="1" applyAlignment="1">
      <alignment horizontal="center" vertical="center"/>
    </xf>
    <xf numFmtId="0" fontId="6" fillId="0" borderId="29" xfId="0" applyFont="1" applyBorder="1" applyAlignment="1">
      <alignment horizontal="center" vertical="center"/>
    </xf>
    <xf numFmtId="0" fontId="0" fillId="0" borderId="29" xfId="0" applyBorder="1" applyAlignment="1">
      <alignment horizontal="center"/>
    </xf>
    <xf numFmtId="0" fontId="41" fillId="0" borderId="0" xfId="0" applyFont="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xf>
    <xf numFmtId="0" fontId="0" fillId="0" borderId="9" xfId="0" applyBorder="1"/>
    <xf numFmtId="0" fontId="42" fillId="0" borderId="0" xfId="0" applyFont="1" applyAlignment="1">
      <alignment vertical="top" wrapText="1"/>
    </xf>
    <xf numFmtId="0" fontId="6" fillId="0" borderId="9" xfId="0" applyFont="1" applyBorder="1" applyAlignment="1">
      <alignment horizontal="center"/>
    </xf>
    <xf numFmtId="0" fontId="41" fillId="0" borderId="0" xfId="0" applyFont="1" applyAlignment="1">
      <alignment horizontal="center"/>
    </xf>
    <xf numFmtId="0" fontId="42" fillId="0" borderId="0" xfId="0" applyFont="1" applyAlignment="1">
      <alignment vertical="center" wrapText="1"/>
    </xf>
    <xf numFmtId="0" fontId="6" fillId="0" borderId="0" xfId="0" applyFont="1" applyAlignment="1">
      <alignment horizontal="center"/>
    </xf>
    <xf numFmtId="0" fontId="9" fillId="0" borderId="0" xfId="0" applyFont="1" applyAlignment="1">
      <alignment horizontal="center"/>
    </xf>
    <xf numFmtId="0" fontId="37" fillId="0" borderId="0" xfId="0" applyFont="1" applyAlignment="1">
      <alignment horizontal="center"/>
    </xf>
    <xf numFmtId="0" fontId="0" fillId="0" borderId="0" xfId="0" applyAlignment="1">
      <alignment vertical="top" wrapText="1"/>
    </xf>
    <xf numFmtId="0" fontId="42" fillId="0" borderId="0" xfId="0" applyFont="1" applyAlignment="1">
      <alignment horizontal="left" wrapText="1"/>
    </xf>
    <xf numFmtId="0" fontId="0" fillId="10" borderId="0" xfId="0" applyFill="1" applyAlignment="1">
      <alignment horizontal="left"/>
    </xf>
    <xf numFmtId="0" fontId="14" fillId="0" borderId="0" xfId="0" applyFont="1"/>
    <xf numFmtId="171" fontId="0" fillId="0" borderId="1" xfId="0" applyNumberFormat="1" applyBorder="1" applyAlignment="1">
      <alignment horizontal="right" indent="1"/>
    </xf>
    <xf numFmtId="0" fontId="7" fillId="0" borderId="0" xfId="0" applyFont="1"/>
    <xf numFmtId="0" fontId="5" fillId="0" borderId="0" xfId="0" applyFont="1" applyAlignment="1">
      <alignment wrapText="1"/>
    </xf>
    <xf numFmtId="0" fontId="24" fillId="0" borderId="0" xfId="0" applyFont="1" applyAlignment="1">
      <alignment vertical="center"/>
    </xf>
    <xf numFmtId="171" fontId="0" fillId="0" borderId="0" xfId="0" applyNumberFormat="1" applyAlignment="1">
      <alignment horizontal="right" indent="1"/>
    </xf>
    <xf numFmtId="6" fontId="0" fillId="0" borderId="0" xfId="0" applyNumberFormat="1"/>
    <xf numFmtId="6" fontId="0" fillId="0" borderId="0" xfId="0" applyNumberFormat="1" applyAlignment="1">
      <alignment horizontal="center"/>
    </xf>
    <xf numFmtId="0" fontId="0" fillId="0" borderId="24" xfId="0" applyBorder="1"/>
    <xf numFmtId="0" fontId="3" fillId="0" borderId="0" xfId="0" applyFont="1"/>
    <xf numFmtId="0" fontId="19" fillId="0" borderId="0" xfId="0" applyFont="1" applyAlignment="1">
      <alignment horizontal="center" wrapText="1"/>
    </xf>
    <xf numFmtId="167" fontId="0" fillId="5" borderId="1" xfId="0" applyNumberFormat="1" applyFill="1" applyBorder="1" applyAlignment="1">
      <alignment horizontal="center"/>
    </xf>
    <xf numFmtId="0" fontId="18" fillId="0" borderId="0" xfId="0" applyFont="1" applyAlignment="1">
      <alignment horizontal="right"/>
    </xf>
    <xf numFmtId="167" fontId="0" fillId="5" borderId="7" xfId="0" applyNumberFormat="1" applyFill="1" applyBorder="1" applyAlignment="1">
      <alignment horizontal="center"/>
    </xf>
    <xf numFmtId="0" fontId="3" fillId="5" borderId="0" xfId="0" applyFont="1" applyFill="1"/>
    <xf numFmtId="0" fontId="13" fillId="0" borderId="0" xfId="0" applyFont="1"/>
    <xf numFmtId="0" fontId="0" fillId="10" borderId="24" xfId="0" applyFill="1" applyBorder="1"/>
    <xf numFmtId="0" fontId="0" fillId="0" borderId="0" xfId="0" applyAlignment="1">
      <alignment horizontal="left" wrapText="1"/>
    </xf>
    <xf numFmtId="0" fontId="22" fillId="0" borderId="0" xfId="0" applyFont="1"/>
    <xf numFmtId="0" fontId="19" fillId="0" borderId="0" xfId="0" applyFont="1" applyAlignment="1">
      <alignment vertical="center"/>
    </xf>
    <xf numFmtId="0" fontId="19" fillId="0" borderId="0" xfId="0" applyFont="1" applyAlignment="1">
      <alignment wrapText="1"/>
    </xf>
    <xf numFmtId="0" fontId="0" fillId="0" borderId="0" xfId="0" applyAlignment="1">
      <alignment vertical="center"/>
    </xf>
    <xf numFmtId="6" fontId="0" fillId="0" borderId="1" xfId="0" applyNumberFormat="1" applyBorder="1"/>
    <xf numFmtId="166" fontId="0" fillId="0" borderId="1" xfId="2" applyNumberFormat="1" applyFont="1" applyBorder="1" applyProtection="1"/>
    <xf numFmtId="0" fontId="0" fillId="0" borderId="5" xfId="0" applyBorder="1" applyAlignment="1">
      <alignment wrapText="1"/>
    </xf>
    <xf numFmtId="0" fontId="19" fillId="0" borderId="0" xfId="0" applyFont="1"/>
    <xf numFmtId="0" fontId="0" fillId="0" borderId="8" xfId="0" applyBorder="1"/>
    <xf numFmtId="0" fontId="0" fillId="0" borderId="10" xfId="0" applyBorder="1"/>
    <xf numFmtId="0" fontId="35" fillId="0" borderId="0" xfId="0" applyFont="1"/>
    <xf numFmtId="0" fontId="9" fillId="0" borderId="0" xfId="0" applyFont="1" applyAlignment="1">
      <alignment wrapText="1"/>
    </xf>
    <xf numFmtId="0" fontId="1" fillId="0" borderId="1" xfId="0" applyFont="1" applyBorder="1" applyAlignment="1">
      <alignment horizontal="center" wrapText="1"/>
    </xf>
    <xf numFmtId="3" fontId="9" fillId="0" borderId="1" xfId="0" applyNumberFormat="1" applyFont="1" applyBorder="1" applyAlignment="1">
      <alignment horizontal="center"/>
    </xf>
    <xf numFmtId="3" fontId="9" fillId="0" borderId="1" xfId="0" applyNumberFormat="1" applyFont="1" applyBorder="1" applyAlignment="1">
      <alignment horizontal="left" indent="3"/>
    </xf>
    <xf numFmtId="0" fontId="2" fillId="0" borderId="0" xfId="0" applyFont="1" applyAlignment="1">
      <alignment horizontal="right"/>
    </xf>
    <xf numFmtId="164" fontId="0" fillId="0" borderId="0" xfId="1" applyNumberFormat="1" applyFont="1" applyBorder="1" applyAlignment="1" applyProtection="1">
      <alignment horizontal="center"/>
    </xf>
    <xf numFmtId="167" fontId="0" fillId="0" borderId="1" xfId="0" applyNumberFormat="1" applyBorder="1" applyAlignment="1">
      <alignment horizontal="right" indent="3"/>
    </xf>
    <xf numFmtId="0" fontId="33" fillId="10" borderId="0" xfId="0" applyFont="1" applyFill="1" applyAlignment="1">
      <alignment horizontal="center"/>
    </xf>
    <xf numFmtId="167" fontId="0" fillId="0" borderId="0" xfId="0" applyNumberFormat="1" applyAlignment="1">
      <alignment horizontal="center"/>
    </xf>
    <xf numFmtId="0" fontId="1" fillId="0" borderId="0" xfId="0" applyFont="1" applyAlignment="1">
      <alignment horizontal="center" vertical="center" wrapText="1"/>
    </xf>
    <xf numFmtId="0" fontId="23" fillId="0" borderId="0" xfId="0" applyFont="1" applyAlignment="1">
      <alignment horizontal="center"/>
    </xf>
    <xf numFmtId="164" fontId="0" fillId="0" borderId="0" xfId="1" applyNumberFormat="1" applyFont="1" applyFill="1" applyBorder="1" applyProtection="1"/>
    <xf numFmtId="0" fontId="7" fillId="0" borderId="0" xfId="0" applyFont="1" applyAlignment="1">
      <alignment horizontal="center"/>
    </xf>
    <xf numFmtId="164" fontId="0" fillId="0" borderId="0" xfId="1" applyNumberFormat="1" applyFont="1" applyBorder="1" applyProtection="1"/>
    <xf numFmtId="37" fontId="0" fillId="0" borderId="0" xfId="1" applyNumberFormat="1" applyFont="1" applyBorder="1" applyProtection="1"/>
    <xf numFmtId="172" fontId="0" fillId="0" borderId="1" xfId="0" applyNumberFormat="1" applyBorder="1" applyAlignment="1">
      <alignment horizontal="right" indent="3"/>
    </xf>
    <xf numFmtId="168" fontId="0" fillId="0" borderId="1" xfId="0" applyNumberFormat="1" applyBorder="1" applyAlignment="1">
      <alignment horizontal="center"/>
    </xf>
    <xf numFmtId="0" fontId="5" fillId="0" borderId="0" xfId="0" applyFont="1" applyAlignment="1">
      <alignment horizontal="left"/>
    </xf>
    <xf numFmtId="0" fontId="40" fillId="0" borderId="0" xfId="0" applyFont="1" applyAlignment="1">
      <alignment horizontal="center" wrapText="1"/>
    </xf>
    <xf numFmtId="0" fontId="32" fillId="0" borderId="0" xfId="0" applyFont="1" applyAlignment="1">
      <alignment horizontal="center"/>
    </xf>
    <xf numFmtId="0" fontId="12" fillId="0" borderId="0" xfId="0" applyFont="1" applyAlignment="1">
      <alignment horizontal="left" vertical="top"/>
    </xf>
    <xf numFmtId="0" fontId="0" fillId="0" borderId="0" xfId="0" applyAlignment="1">
      <alignment horizontal="left" vertical="top"/>
    </xf>
    <xf numFmtId="0" fontId="36" fillId="0" borderId="0" xfId="0" applyFont="1"/>
    <xf numFmtId="167" fontId="0" fillId="0" borderId="0" xfId="0" applyNumberFormat="1" applyAlignment="1">
      <alignment horizontal="left"/>
    </xf>
    <xf numFmtId="0" fontId="9" fillId="0" borderId="0" xfId="0" applyFont="1" applyAlignment="1">
      <alignment horizontal="left" vertical="top"/>
    </xf>
    <xf numFmtId="167" fontId="0" fillId="0" borderId="0" xfId="0" applyNumberFormat="1" applyAlignment="1">
      <alignment horizontal="left" wrapText="1"/>
    </xf>
    <xf numFmtId="0" fontId="0" fillId="8" borderId="33" xfId="0" applyFill="1" applyBorder="1"/>
    <xf numFmtId="0" fontId="0" fillId="8" borderId="31" xfId="0" applyFill="1" applyBorder="1"/>
    <xf numFmtId="0" fontId="0" fillId="8" borderId="34" xfId="0" applyFill="1" applyBorder="1"/>
    <xf numFmtId="0" fontId="0" fillId="8" borderId="36" xfId="0" applyFill="1" applyBorder="1"/>
    <xf numFmtId="0" fontId="0" fillId="8" borderId="35" xfId="0" applyFill="1" applyBorder="1"/>
    <xf numFmtId="0" fontId="0" fillId="8" borderId="37" xfId="0" applyFill="1" applyBorder="1"/>
    <xf numFmtId="0" fontId="21" fillId="0" borderId="39" xfId="3" applyBorder="1"/>
    <xf numFmtId="0" fontId="0" fillId="0" borderId="40" xfId="0" applyBorder="1"/>
    <xf numFmtId="0" fontId="21" fillId="0" borderId="0" xfId="3" applyBorder="1"/>
    <xf numFmtId="0" fontId="0" fillId="0" borderId="39" xfId="0" applyBorder="1"/>
    <xf numFmtId="0" fontId="21" fillId="0" borderId="0" xfId="3"/>
    <xf numFmtId="0" fontId="21" fillId="0" borderId="19" xfId="3" applyBorder="1"/>
    <xf numFmtId="0" fontId="21" fillId="0" borderId="36" xfId="3" applyBorder="1"/>
    <xf numFmtId="0" fontId="0" fillId="0" borderId="35" xfId="0" applyBorder="1"/>
    <xf numFmtId="0" fontId="21" fillId="0" borderId="35" xfId="3" applyBorder="1"/>
    <xf numFmtId="0" fontId="0" fillId="0" borderId="37" xfId="0" applyBorder="1"/>
    <xf numFmtId="0" fontId="0" fillId="14" borderId="0" xfId="0" applyFill="1"/>
    <xf numFmtId="0" fontId="9" fillId="0" borderId="0" xfId="0" applyFont="1" applyAlignment="1">
      <alignment horizontal="left" vertical="top" wrapText="1"/>
    </xf>
    <xf numFmtId="167" fontId="0" fillId="0" borderId="0" xfId="0" applyNumberFormat="1" applyAlignment="1" applyProtection="1">
      <alignment horizontal="center"/>
      <protection locked="0"/>
    </xf>
    <xf numFmtId="167" fontId="1" fillId="0" borderId="0" xfId="0" applyNumberFormat="1" applyFont="1" applyAlignment="1">
      <alignment horizontal="center"/>
    </xf>
    <xf numFmtId="0" fontId="0" fillId="0" borderId="9" xfId="0" applyBorder="1" applyAlignment="1">
      <alignment vertical="top" wrapText="1"/>
    </xf>
    <xf numFmtId="0" fontId="0" fillId="8" borderId="31" xfId="0" applyFill="1" applyBorder="1" applyAlignment="1">
      <alignment vertical="top"/>
    </xf>
    <xf numFmtId="0" fontId="0" fillId="8" borderId="31" xfId="0" applyFill="1" applyBorder="1" applyAlignment="1">
      <alignment vertical="top" wrapText="1"/>
    </xf>
    <xf numFmtId="0" fontId="0" fillId="8" borderId="35" xfId="0" applyFill="1" applyBorder="1" applyAlignment="1">
      <alignment vertical="top"/>
    </xf>
    <xf numFmtId="0" fontId="0" fillId="8" borderId="35" xfId="0" applyFill="1" applyBorder="1" applyAlignment="1">
      <alignment vertical="top" wrapText="1"/>
    </xf>
    <xf numFmtId="0" fontId="9" fillId="0" borderId="8" xfId="0" applyFont="1" applyBorder="1" applyAlignment="1">
      <alignment vertical="top" wrapText="1"/>
    </xf>
    <xf numFmtId="0" fontId="0" fillId="0" borderId="8" xfId="0" applyBorder="1" applyAlignment="1">
      <alignment vertical="top" wrapText="1"/>
    </xf>
    <xf numFmtId="0" fontId="9" fillId="0" borderId="9" xfId="0" applyFont="1" applyBorder="1" applyAlignment="1">
      <alignment vertical="top" wrapText="1"/>
    </xf>
    <xf numFmtId="0" fontId="9" fillId="0" borderId="9" xfId="0" applyFont="1" applyBorder="1" applyAlignment="1">
      <alignment vertical="top"/>
    </xf>
    <xf numFmtId="0" fontId="0" fillId="0" borderId="0" xfId="0" applyAlignment="1">
      <alignment vertical="top"/>
    </xf>
    <xf numFmtId="16" fontId="0" fillId="0" borderId="9" xfId="0" quotePrefix="1" applyNumberFormat="1" applyBorder="1" applyAlignment="1">
      <alignment vertical="top" wrapText="1"/>
    </xf>
    <xf numFmtId="0" fontId="47" fillId="0" borderId="9" xfId="0" applyFont="1" applyBorder="1" applyAlignment="1">
      <alignment vertical="top"/>
    </xf>
    <xf numFmtId="0" fontId="9" fillId="0" borderId="42" xfId="0" applyFont="1" applyBorder="1" applyAlignment="1">
      <alignment vertical="top"/>
    </xf>
    <xf numFmtId="0" fontId="0" fillId="0" borderId="42" xfId="0" applyBorder="1" applyAlignment="1">
      <alignment vertical="top" wrapText="1"/>
    </xf>
    <xf numFmtId="0" fontId="9" fillId="0" borderId="0" xfId="0" applyFont="1" applyAlignment="1">
      <alignment vertical="top"/>
    </xf>
    <xf numFmtId="0" fontId="21" fillId="0" borderId="0" xfId="3" applyAlignment="1">
      <alignment vertical="top" wrapText="1"/>
    </xf>
    <xf numFmtId="0" fontId="21" fillId="0" borderId="5" xfId="3" applyBorder="1" applyAlignment="1">
      <alignment vertical="top"/>
    </xf>
    <xf numFmtId="0" fontId="0" fillId="8" borderId="30" xfId="0" applyFill="1" applyBorder="1" applyAlignment="1">
      <alignment vertical="top" wrapText="1"/>
    </xf>
    <xf numFmtId="0" fontId="0" fillId="8" borderId="23" xfId="0" applyFill="1" applyBorder="1" applyAlignment="1">
      <alignment vertical="top" wrapText="1"/>
    </xf>
    <xf numFmtId="0" fontId="0" fillId="0" borderId="38" xfId="0" applyBorder="1" applyAlignment="1">
      <alignment vertical="top" wrapText="1"/>
    </xf>
    <xf numFmtId="0" fontId="0" fillId="0" borderId="26" xfId="0" applyBorder="1" applyAlignment="1">
      <alignment vertical="top" wrapText="1"/>
    </xf>
    <xf numFmtId="6" fontId="0" fillId="0" borderId="9" xfId="0" applyNumberFormat="1" applyBorder="1" applyAlignment="1">
      <alignment vertical="top" wrapText="1"/>
    </xf>
    <xf numFmtId="0" fontId="9" fillId="0" borderId="9" xfId="0" quotePrefix="1" applyFont="1" applyBorder="1" applyAlignment="1">
      <alignment vertical="top" wrapText="1"/>
    </xf>
    <xf numFmtId="0" fontId="0" fillId="0" borderId="9" xfId="0" quotePrefix="1" applyBorder="1" applyAlignment="1">
      <alignment vertical="top" wrapText="1"/>
    </xf>
    <xf numFmtId="0" fontId="0" fillId="0" borderId="27" xfId="0" applyBorder="1" applyAlignment="1">
      <alignment vertical="top" wrapText="1"/>
    </xf>
    <xf numFmtId="0" fontId="9" fillId="0" borderId="38" xfId="0" applyFont="1" applyBorder="1" applyAlignment="1">
      <alignment vertical="top" wrapText="1"/>
    </xf>
    <xf numFmtId="0" fontId="9" fillId="0" borderId="26" xfId="0" applyFont="1" applyBorder="1" applyAlignment="1">
      <alignment vertical="top" wrapText="1"/>
    </xf>
    <xf numFmtId="0" fontId="0" fillId="0" borderId="41" xfId="0" applyBorder="1" applyAlignment="1">
      <alignment vertical="top" wrapText="1"/>
    </xf>
    <xf numFmtId="0" fontId="38" fillId="0" borderId="26" xfId="0" applyFont="1" applyBorder="1" applyAlignment="1">
      <alignment vertical="top" wrapText="1"/>
    </xf>
    <xf numFmtId="0" fontId="38" fillId="0" borderId="9" xfId="0" applyFont="1" applyBorder="1" applyAlignment="1">
      <alignment vertical="top" wrapText="1"/>
    </xf>
    <xf numFmtId="0" fontId="46" fillId="0" borderId="26" xfId="0" applyFont="1" applyBorder="1" applyAlignment="1">
      <alignment vertical="top" wrapText="1"/>
    </xf>
    <xf numFmtId="0" fontId="47" fillId="0" borderId="26" xfId="0" applyFont="1" applyBorder="1" applyAlignment="1">
      <alignment vertical="top" wrapText="1"/>
    </xf>
    <xf numFmtId="0" fontId="9" fillId="0" borderId="27" xfId="0" applyFont="1" applyBorder="1" applyAlignment="1">
      <alignment vertical="top" wrapText="1"/>
    </xf>
    <xf numFmtId="0" fontId="9" fillId="0" borderId="0" xfId="0" applyFont="1" applyAlignment="1">
      <alignment vertical="top" wrapText="1"/>
    </xf>
    <xf numFmtId="0" fontId="0" fillId="8" borderId="30" xfId="0" applyFill="1" applyBorder="1" applyAlignment="1">
      <alignment horizontal="center" vertical="top" wrapText="1"/>
    </xf>
    <xf numFmtId="0" fontId="0" fillId="8" borderId="31" xfId="0" applyFill="1" applyBorder="1" applyAlignment="1">
      <alignment horizontal="center" vertical="top"/>
    </xf>
    <xf numFmtId="16" fontId="0" fillId="8" borderId="23" xfId="0" applyNumberFormat="1" applyFill="1" applyBorder="1" applyAlignment="1">
      <alignment horizontal="center" vertical="top" wrapText="1"/>
    </xf>
    <xf numFmtId="16" fontId="0" fillId="8" borderId="35" xfId="0" applyNumberFormat="1" applyFill="1" applyBorder="1" applyAlignment="1">
      <alignment horizontal="center" vertical="top" wrapText="1"/>
    </xf>
    <xf numFmtId="0" fontId="0" fillId="0" borderId="38" xfId="0" applyBorder="1" applyAlignment="1">
      <alignment horizontal="center" vertical="top" wrapText="1"/>
    </xf>
    <xf numFmtId="0" fontId="0" fillId="0" borderId="8" xfId="0" applyBorder="1" applyAlignment="1">
      <alignment horizontal="center" vertical="top"/>
    </xf>
    <xf numFmtId="0" fontId="0" fillId="0" borderId="26" xfId="0" applyBorder="1" applyAlignment="1">
      <alignment horizontal="center" vertical="top" wrapText="1"/>
    </xf>
    <xf numFmtId="0" fontId="0" fillId="0" borderId="9" xfId="0" applyBorder="1" applyAlignment="1">
      <alignment horizontal="center" vertical="top"/>
    </xf>
    <xf numFmtId="0" fontId="0" fillId="0" borderId="26" xfId="0" applyBorder="1" applyAlignment="1">
      <alignment horizontal="center" vertical="top"/>
    </xf>
    <xf numFmtId="0" fontId="0" fillId="0" borderId="9" xfId="0" applyBorder="1" applyAlignment="1">
      <alignment horizontal="center" vertical="top" wrapText="1"/>
    </xf>
    <xf numFmtId="0" fontId="0" fillId="0" borderId="27" xfId="0" applyBorder="1" applyAlignment="1">
      <alignment horizontal="center" vertical="top" wrapText="1"/>
    </xf>
    <xf numFmtId="0" fontId="0" fillId="0" borderId="42" xfId="0" applyBorder="1" applyAlignment="1">
      <alignment horizontal="center" vertical="top"/>
    </xf>
    <xf numFmtId="0" fontId="0" fillId="0" borderId="0" xfId="0" applyAlignment="1">
      <alignment horizontal="center" vertical="top" wrapText="1"/>
    </xf>
    <xf numFmtId="0" fontId="0" fillId="0" borderId="0" xfId="0" applyAlignment="1">
      <alignment horizontal="center" vertical="top"/>
    </xf>
    <xf numFmtId="0" fontId="21" fillId="0" borderId="0" xfId="3" applyAlignment="1">
      <alignment horizontal="center" vertical="top"/>
    </xf>
    <xf numFmtId="9" fontId="0" fillId="8" borderId="35" xfId="2" applyFont="1" applyFill="1" applyBorder="1" applyAlignment="1">
      <alignment horizontal="center" vertical="top"/>
    </xf>
    <xf numFmtId="0" fontId="45" fillId="8" borderId="23" xfId="0" applyFont="1" applyFill="1" applyBorder="1" applyAlignment="1">
      <alignment horizontal="center" vertical="top"/>
    </xf>
    <xf numFmtId="9" fontId="0" fillId="0" borderId="8" xfId="2" applyFont="1" applyBorder="1" applyAlignment="1">
      <alignment horizontal="center" vertical="top"/>
    </xf>
    <xf numFmtId="0" fontId="0" fillId="0" borderId="38" xfId="2" applyNumberFormat="1" applyFont="1" applyBorder="1" applyAlignment="1">
      <alignment horizontal="center" vertical="top"/>
    </xf>
    <xf numFmtId="9" fontId="0" fillId="0" borderId="9" xfId="2" applyFont="1" applyBorder="1" applyAlignment="1">
      <alignment horizontal="center" vertical="top"/>
    </xf>
    <xf numFmtId="0" fontId="0" fillId="0" borderId="26" xfId="2" applyNumberFormat="1" applyFont="1" applyBorder="1" applyAlignment="1">
      <alignment horizontal="center" vertical="top"/>
    </xf>
    <xf numFmtId="9" fontId="0" fillId="0" borderId="42" xfId="2" applyFont="1" applyBorder="1" applyAlignment="1">
      <alignment horizontal="center" vertical="top"/>
    </xf>
    <xf numFmtId="0" fontId="0" fillId="0" borderId="27" xfId="2" applyNumberFormat="1" applyFont="1" applyBorder="1" applyAlignment="1">
      <alignment horizontal="center" vertical="top"/>
    </xf>
    <xf numFmtId="9" fontId="0" fillId="8" borderId="23" xfId="2" applyFont="1" applyFill="1" applyBorder="1" applyAlignment="1">
      <alignment horizontal="center" vertical="top"/>
    </xf>
    <xf numFmtId="0" fontId="45" fillId="8" borderId="35" xfId="0" applyFont="1" applyFill="1" applyBorder="1" applyAlignment="1">
      <alignment horizontal="center" vertical="top"/>
    </xf>
    <xf numFmtId="9" fontId="0" fillId="0" borderId="38" xfId="2" applyFont="1" applyBorder="1" applyAlignment="1">
      <alignment horizontal="center" vertical="top"/>
    </xf>
    <xf numFmtId="0" fontId="0" fillId="0" borderId="8" xfId="2" applyNumberFormat="1" applyFont="1" applyBorder="1" applyAlignment="1">
      <alignment horizontal="center" vertical="top"/>
    </xf>
    <xf numFmtId="9" fontId="0" fillId="0" borderId="26" xfId="2" applyFont="1" applyBorder="1" applyAlignment="1">
      <alignment horizontal="center" vertical="top"/>
    </xf>
    <xf numFmtId="0" fontId="0" fillId="0" borderId="9" xfId="2" applyNumberFormat="1" applyFont="1" applyBorder="1" applyAlignment="1">
      <alignment horizontal="center" vertical="top"/>
    </xf>
    <xf numFmtId="9" fontId="0" fillId="0" borderId="27" xfId="2" applyFont="1" applyBorder="1" applyAlignment="1">
      <alignment horizontal="center" vertical="top"/>
    </xf>
    <xf numFmtId="0" fontId="0" fillId="0" borderId="42" xfId="2" applyNumberFormat="1" applyFont="1" applyBorder="1" applyAlignment="1">
      <alignment horizontal="center" vertical="top"/>
    </xf>
    <xf numFmtId="6" fontId="0" fillId="0" borderId="9" xfId="0" applyNumberFormat="1" applyBorder="1" applyAlignment="1">
      <alignment horizontal="left" vertical="top" wrapText="1"/>
    </xf>
    <xf numFmtId="0" fontId="0" fillId="0" borderId="9" xfId="0" applyBorder="1" applyAlignment="1">
      <alignment horizontal="left" vertical="top" wrapText="1"/>
    </xf>
    <xf numFmtId="0" fontId="1" fillId="0" borderId="19" xfId="0" applyFont="1" applyBorder="1" applyAlignment="1">
      <alignment horizontal="center" wrapText="1"/>
    </xf>
    <xf numFmtId="0" fontId="1" fillId="0" borderId="0" xfId="0" applyFont="1" applyAlignment="1">
      <alignment horizontal="left"/>
    </xf>
    <xf numFmtId="0" fontId="0" fillId="0" borderId="3" xfId="0" applyBorder="1"/>
    <xf numFmtId="167" fontId="0" fillId="0" borderId="0" xfId="0" applyNumberFormat="1" applyAlignment="1">
      <alignment horizontal="center" wrapText="1"/>
    </xf>
    <xf numFmtId="37" fontId="0" fillId="0" borderId="0" xfId="0" applyNumberFormat="1" applyAlignment="1">
      <alignment horizontal="center" wrapText="1"/>
    </xf>
    <xf numFmtId="0" fontId="0" fillId="0" borderId="24" xfId="0" applyBorder="1" applyAlignment="1">
      <alignment horizontal="left" vertical="top" wrapText="1"/>
    </xf>
    <xf numFmtId="0" fontId="2" fillId="0" borderId="5" xfId="0" applyFont="1" applyBorder="1" applyAlignment="1">
      <alignment horizontal="left" wrapText="1"/>
    </xf>
    <xf numFmtId="0" fontId="23" fillId="0" borderId="8" xfId="0" applyFont="1" applyBorder="1" applyAlignment="1">
      <alignment horizontal="center" wrapText="1"/>
    </xf>
    <xf numFmtId="0" fontId="1" fillId="0" borderId="8" xfId="0" applyFont="1" applyBorder="1" applyAlignment="1">
      <alignment horizontal="center" wrapText="1"/>
    </xf>
    <xf numFmtId="172" fontId="0" fillId="0" borderId="1" xfId="0" applyNumberFormat="1" applyBorder="1" applyAlignment="1">
      <alignment horizontal="center"/>
    </xf>
    <xf numFmtId="164" fontId="0" fillId="0" borderId="1" xfId="0" applyNumberFormat="1" applyBorder="1" applyAlignment="1">
      <alignment horizontal="center"/>
    </xf>
    <xf numFmtId="0" fontId="10" fillId="0" borderId="0" xfId="0" applyFont="1" applyAlignment="1">
      <alignment horizontal="center"/>
    </xf>
    <xf numFmtId="0" fontId="2"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1" fillId="0" borderId="8" xfId="0" applyFont="1" applyBorder="1" applyAlignment="1">
      <alignment wrapText="1"/>
    </xf>
    <xf numFmtId="0" fontId="9" fillId="4" borderId="0" xfId="0" applyFont="1" applyFill="1"/>
    <xf numFmtId="168" fontId="0" fillId="0" borderId="1" xfId="0" applyNumberFormat="1" applyBorder="1"/>
    <xf numFmtId="0" fontId="12" fillId="0" borderId="0" xfId="0" applyFont="1" applyAlignment="1">
      <alignment vertical="top"/>
    </xf>
    <xf numFmtId="0" fontId="54" fillId="0" borderId="0" xfId="0" applyFont="1" applyAlignment="1">
      <alignment horizontal="right"/>
    </xf>
    <xf numFmtId="0" fontId="55" fillId="0" borderId="0" xfId="0" applyFont="1" applyAlignment="1">
      <alignment horizontal="center" vertical="top" wrapText="1"/>
    </xf>
    <xf numFmtId="0" fontId="18" fillId="0" borderId="0" xfId="0" applyFont="1" applyAlignment="1">
      <alignment horizontal="right" vertical="center" wrapText="1"/>
    </xf>
    <xf numFmtId="0" fontId="0" fillId="0" borderId="19" xfId="0" applyBorder="1"/>
    <xf numFmtId="9" fontId="0" fillId="6" borderId="1" xfId="0" applyNumberFormat="1" applyFill="1" applyBorder="1" applyProtection="1">
      <protection locked="0"/>
    </xf>
    <xf numFmtId="9" fontId="0" fillId="0" borderId="1" xfId="2" applyFont="1" applyFill="1" applyBorder="1" applyAlignment="1" applyProtection="1">
      <alignment horizontal="center"/>
      <protection locked="0"/>
    </xf>
    <xf numFmtId="9" fontId="0" fillId="0" borderId="0" xfId="0" applyNumberFormat="1" applyProtection="1">
      <protection locked="0"/>
    </xf>
    <xf numFmtId="3" fontId="0" fillId="0" borderId="1" xfId="2" applyNumberFormat="1" applyFont="1" applyFill="1" applyBorder="1" applyAlignment="1" applyProtection="1">
      <alignment horizontal="center"/>
      <protection locked="0"/>
    </xf>
    <xf numFmtId="1" fontId="1" fillId="0" borderId="1" xfId="0" applyNumberFormat="1" applyFont="1" applyBorder="1" applyAlignment="1">
      <alignment horizontal="center"/>
    </xf>
    <xf numFmtId="0" fontId="1" fillId="0" borderId="0" xfId="0" applyFont="1" applyAlignment="1">
      <alignment horizontal="left" vertical="top"/>
    </xf>
    <xf numFmtId="0" fontId="55"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xf>
    <xf numFmtId="0" fontId="0" fillId="7" borderId="1" xfId="0" applyFill="1" applyBorder="1"/>
    <xf numFmtId="0" fontId="10" fillId="10" borderId="10" xfId="0" applyFont="1" applyFill="1" applyBorder="1" applyAlignment="1">
      <alignment horizontal="center"/>
    </xf>
    <xf numFmtId="0" fontId="0" fillId="10" borderId="0" xfId="0" applyFill="1" applyAlignment="1">
      <alignment horizontal="center"/>
    </xf>
    <xf numFmtId="0" fontId="49" fillId="10" borderId="0" xfId="0" applyFont="1" applyFill="1" applyAlignment="1">
      <alignment horizontal="center" vertical="top" wrapText="1"/>
    </xf>
    <xf numFmtId="167" fontId="0" fillId="0" borderId="7" xfId="0" applyNumberFormat="1" applyBorder="1" applyAlignment="1">
      <alignment horizontal="center"/>
    </xf>
    <xf numFmtId="0" fontId="1" fillId="8" borderId="0" xfId="0" applyFont="1" applyFill="1" applyAlignment="1">
      <alignment horizontal="left" wrapText="1"/>
    </xf>
    <xf numFmtId="0" fontId="0" fillId="10" borderId="0" xfId="0" applyFill="1" applyAlignment="1">
      <alignment wrapText="1"/>
    </xf>
    <xf numFmtId="0" fontId="0" fillId="8" borderId="1" xfId="0" applyFill="1" applyBorder="1" applyAlignment="1">
      <alignment horizontal="right"/>
    </xf>
    <xf numFmtId="0" fontId="0" fillId="6" borderId="1" xfId="0" applyFill="1" applyBorder="1" applyAlignment="1" applyProtection="1">
      <alignment horizontal="center"/>
      <protection locked="0"/>
    </xf>
    <xf numFmtId="171" fontId="0" fillId="6" borderId="1" xfId="0" applyNumberFormat="1" applyFill="1" applyBorder="1" applyAlignment="1">
      <alignment horizontal="right"/>
    </xf>
    <xf numFmtId="0" fontId="0" fillId="0" borderId="0" xfId="0" applyAlignment="1">
      <alignment horizontal="left" indent="2"/>
    </xf>
    <xf numFmtId="0" fontId="34" fillId="0" borderId="0" xfId="0" applyFont="1" applyAlignment="1">
      <alignment horizontal="left"/>
    </xf>
    <xf numFmtId="0" fontId="32" fillId="10" borderId="0" xfId="0" applyFont="1" applyFill="1" applyAlignment="1">
      <alignment horizontal="center"/>
    </xf>
    <xf numFmtId="0" fontId="33" fillId="4" borderId="0" xfId="0" applyFont="1" applyFill="1" applyAlignment="1">
      <alignment horizontal="center"/>
    </xf>
    <xf numFmtId="0" fontId="1" fillId="10" borderId="0" xfId="0" applyFont="1" applyFill="1" applyAlignment="1">
      <alignment horizontal="center"/>
    </xf>
    <xf numFmtId="0" fontId="58" fillId="0" borderId="0" xfId="0" applyFont="1" applyAlignment="1">
      <alignment horizontal="left" vertical="top"/>
    </xf>
    <xf numFmtId="167" fontId="0" fillId="0" borderId="1" xfId="0" applyNumberFormat="1" applyBorder="1" applyAlignment="1">
      <alignment horizontal="center"/>
    </xf>
    <xf numFmtId="0" fontId="0" fillId="4" borderId="1" xfId="0" applyFill="1" applyBorder="1" applyAlignment="1" applyProtection="1">
      <alignment horizontal="center"/>
      <protection locked="0"/>
    </xf>
    <xf numFmtId="0" fontId="0" fillId="10" borderId="1" xfId="0" applyFill="1" applyBorder="1" applyAlignment="1" applyProtection="1">
      <alignment horizontal="center" vertical="center"/>
      <protection locked="0"/>
    </xf>
    <xf numFmtId="0" fontId="35" fillId="0" borderId="0" xfId="0" applyFont="1" applyProtection="1">
      <protection locked="0"/>
    </xf>
    <xf numFmtId="0" fontId="34" fillId="0" borderId="0" xfId="0" applyFont="1" applyAlignment="1" applyProtection="1">
      <alignment horizontal="left"/>
      <protection locked="0"/>
    </xf>
    <xf numFmtId="0" fontId="0" fillId="0" borderId="0" xfId="0" applyProtection="1">
      <protection locked="0"/>
    </xf>
    <xf numFmtId="9" fontId="1" fillId="9" borderId="1" xfId="0" applyNumberFormat="1" applyFont="1" applyFill="1" applyBorder="1" applyAlignment="1" applyProtection="1">
      <alignment horizontal="center"/>
      <protection locked="0"/>
    </xf>
    <xf numFmtId="9" fontId="1" fillId="0" borderId="0" xfId="0" applyNumberFormat="1" applyFont="1" applyAlignment="1" applyProtection="1">
      <alignment horizontal="center"/>
      <protection locked="0"/>
    </xf>
    <xf numFmtId="9" fontId="0" fillId="0" borderId="1" xfId="0" applyNumberFormat="1" applyBorder="1"/>
    <xf numFmtId="0" fontId="1" fillId="0" borderId="0" xfId="0" applyFont="1" applyAlignment="1">
      <alignment horizontal="center" vertical="top" wrapText="1"/>
    </xf>
    <xf numFmtId="9" fontId="0" fillId="2" borderId="1" xfId="0" applyNumberFormat="1" applyFill="1" applyBorder="1" applyAlignment="1">
      <alignment horizontal="center"/>
    </xf>
    <xf numFmtId="1" fontId="0" fillId="2" borderId="1" xfId="0" applyNumberFormat="1" applyFill="1" applyBorder="1" applyAlignment="1">
      <alignment horizontal="center"/>
    </xf>
    <xf numFmtId="0" fontId="9" fillId="0" borderId="1" xfId="0" applyFont="1" applyBorder="1"/>
    <xf numFmtId="0" fontId="60" fillId="0" borderId="1" xfId="0" applyFont="1" applyBorder="1"/>
    <xf numFmtId="3" fontId="9" fillId="0" borderId="1" xfId="0" applyNumberFormat="1" applyFont="1" applyBorder="1"/>
    <xf numFmtId="0" fontId="29" fillId="0" borderId="1" xfId="0" applyFont="1" applyBorder="1"/>
    <xf numFmtId="0" fontId="48" fillId="15" borderId="1" xfId="0" applyFont="1" applyFill="1" applyBorder="1"/>
    <xf numFmtId="0" fontId="9" fillId="0" borderId="1" xfId="0" applyFont="1" applyBorder="1" applyAlignment="1">
      <alignment wrapText="1"/>
    </xf>
    <xf numFmtId="3" fontId="0" fillId="0" borderId="1" xfId="2" applyNumberFormat="1" applyFont="1" applyBorder="1"/>
    <xf numFmtId="0" fontId="21" fillId="0" borderId="0" xfId="3" applyFill="1" applyProtection="1">
      <protection locked="0" hidden="1"/>
    </xf>
    <xf numFmtId="0" fontId="21" fillId="0" borderId="0" xfId="3" applyFill="1" applyBorder="1" applyAlignment="1" applyProtection="1">
      <protection locked="0" hidden="1"/>
    </xf>
    <xf numFmtId="0" fontId="0" fillId="0" borderId="0" xfId="0" applyProtection="1">
      <protection locked="0" hidden="1"/>
    </xf>
    <xf numFmtId="3" fontId="3" fillId="0" borderId="0" xfId="0" applyNumberFormat="1" applyFont="1"/>
    <xf numFmtId="0" fontId="9" fillId="0" borderId="0" xfId="0" applyFont="1" applyAlignment="1">
      <alignment horizontal="left" vertical="center" wrapText="1"/>
    </xf>
    <xf numFmtId="0" fontId="0" fillId="0" borderId="0" xfId="0" applyAlignment="1">
      <alignment horizontal="left" wrapText="1"/>
    </xf>
    <xf numFmtId="0" fontId="0" fillId="0" borderId="3"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1" fillId="0" borderId="1" xfId="0" applyFont="1" applyBorder="1" applyAlignment="1">
      <alignment vertical="top" wrapText="1"/>
    </xf>
    <xf numFmtId="0" fontId="51" fillId="0" borderId="1" xfId="0" applyFont="1" applyBorder="1" applyAlignment="1">
      <alignment vertical="top" wrapText="1"/>
    </xf>
    <xf numFmtId="0" fontId="0" fillId="0" borderId="1" xfId="0" applyBorder="1" applyAlignment="1">
      <alignment vertical="top" wrapText="1"/>
    </xf>
    <xf numFmtId="0" fontId="23" fillId="0" borderId="8" xfId="0" applyFont="1" applyBorder="1" applyAlignment="1">
      <alignment horizontal="center"/>
    </xf>
    <xf numFmtId="0" fontId="53" fillId="0" borderId="0" xfId="0" applyFont="1" applyAlignment="1">
      <alignment horizontal="center" wrapText="1"/>
    </xf>
    <xf numFmtId="0" fontId="53" fillId="0" borderId="8" xfId="0" applyFont="1" applyBorder="1" applyAlignment="1">
      <alignment horizontal="center" wrapText="1"/>
    </xf>
    <xf numFmtId="0" fontId="1" fillId="0" borderId="1" xfId="0" applyFont="1" applyBorder="1" applyAlignment="1">
      <alignment horizontal="center" wrapText="1"/>
    </xf>
    <xf numFmtId="0" fontId="33" fillId="8" borderId="0" xfId="0" applyFont="1" applyFill="1" applyAlignment="1">
      <alignment horizontal="center"/>
    </xf>
    <xf numFmtId="0" fontId="0" fillId="0" borderId="0" xfId="0" applyAlignment="1">
      <alignment horizontal="center"/>
    </xf>
    <xf numFmtId="0" fontId="33" fillId="10" borderId="0" xfId="0" applyFont="1" applyFill="1" applyAlignment="1">
      <alignment horizontal="center" wrapText="1"/>
    </xf>
    <xf numFmtId="0" fontId="0" fillId="0" borderId="0" xfId="0" applyAlignment="1">
      <alignment wrapText="1"/>
    </xf>
    <xf numFmtId="0" fontId="35" fillId="0" borderId="0" xfId="0" applyFont="1" applyAlignment="1">
      <alignment horizontal="center"/>
    </xf>
    <xf numFmtId="0" fontId="0" fillId="8" borderId="5" xfId="0" applyFill="1" applyBorder="1"/>
    <xf numFmtId="0" fontId="0" fillId="8" borderId="0" xfId="0" applyFill="1"/>
    <xf numFmtId="0" fontId="9" fillId="0" borderId="0" xfId="0" applyFont="1" applyAlignment="1">
      <alignment wrapText="1"/>
    </xf>
    <xf numFmtId="0" fontId="33" fillId="10" borderId="0" xfId="0" applyFont="1" applyFill="1" applyAlignment="1">
      <alignment horizontal="center"/>
    </xf>
    <xf numFmtId="0" fontId="1" fillId="0" borderId="0" xfId="0" applyFont="1" applyAlignment="1">
      <alignment horizontal="center"/>
    </xf>
    <xf numFmtId="0" fontId="9" fillId="4" borderId="1" xfId="0" applyFont="1" applyFill="1" applyBorder="1" applyProtection="1">
      <protection locked="0"/>
    </xf>
    <xf numFmtId="0" fontId="0" fillId="0" borderId="1" xfId="0" applyBorder="1" applyProtection="1">
      <protection locked="0"/>
    </xf>
    <xf numFmtId="0" fontId="33" fillId="10" borderId="0" xfId="0" applyFont="1" applyFill="1" applyAlignment="1">
      <alignment horizontal="center" vertical="top" wrapText="1"/>
    </xf>
    <xf numFmtId="0" fontId="9" fillId="0" borderId="0" xfId="0" applyFont="1" applyAlignment="1">
      <alignment horizontal="center" vertical="top" wrapText="1"/>
    </xf>
    <xf numFmtId="0" fontId="10" fillId="8" borderId="10" xfId="0" applyFont="1" applyFill="1" applyBorder="1" applyAlignment="1">
      <alignment horizontal="center"/>
    </xf>
    <xf numFmtId="0" fontId="0" fillId="8" borderId="10" xfId="0" applyFill="1" applyBorder="1" applyAlignment="1">
      <alignment horizontal="center"/>
    </xf>
    <xf numFmtId="0" fontId="56" fillId="8" borderId="0" xfId="0" applyFont="1" applyFill="1" applyAlignment="1">
      <alignment wrapText="1"/>
    </xf>
    <xf numFmtId="0" fontId="1" fillId="8" borderId="0" xfId="0" applyFont="1" applyFill="1" applyAlignment="1">
      <alignment wrapText="1"/>
    </xf>
    <xf numFmtId="0" fontId="0" fillId="0" borderId="1" xfId="0" applyBorder="1" applyAlignment="1">
      <alignment horizontal="center" wrapText="1"/>
    </xf>
    <xf numFmtId="167" fontId="0" fillId="0" borderId="19" xfId="0" applyNumberFormat="1" applyBorder="1" applyAlignment="1">
      <alignment horizontal="left" vertical="top" wrapText="1"/>
    </xf>
    <xf numFmtId="167" fontId="0" fillId="0" borderId="12" xfId="0" applyNumberFormat="1" applyBorder="1" applyAlignment="1">
      <alignment horizontal="left" vertical="top" wrapText="1"/>
    </xf>
    <xf numFmtId="167" fontId="0" fillId="0" borderId="7" xfId="0" applyNumberFormat="1" applyBorder="1" applyAlignment="1">
      <alignment horizontal="left" vertical="top" wrapText="1"/>
    </xf>
    <xf numFmtId="0" fontId="0" fillId="0" borderId="1" xfId="0" applyBorder="1" applyAlignment="1">
      <alignment horizontal="left" vertical="top" wrapText="1"/>
    </xf>
    <xf numFmtId="0" fontId="9" fillId="0" borderId="19" xfId="0" applyFont="1" applyBorder="1" applyAlignment="1">
      <alignment horizontal="center" vertical="top" wrapText="1"/>
    </xf>
    <xf numFmtId="0" fontId="0" fillId="0" borderId="7" xfId="0" applyBorder="1" applyAlignment="1">
      <alignment horizontal="center" vertical="top" wrapText="1"/>
    </xf>
    <xf numFmtId="167" fontId="0" fillId="0" borderId="19" xfId="0" applyNumberFormat="1" applyBorder="1" applyAlignment="1">
      <alignment horizontal="center"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167" fontId="0" fillId="0" borderId="19" xfId="0" applyNumberFormat="1" applyBorder="1" applyAlignment="1">
      <alignment horizontal="center" vertical="center" wrapText="1"/>
    </xf>
    <xf numFmtId="167" fontId="0" fillId="0" borderId="7" xfId="0" applyNumberFormat="1" applyBorder="1" applyAlignment="1">
      <alignment horizontal="center" vertical="center" wrapText="1"/>
    </xf>
    <xf numFmtId="0" fontId="1" fillId="0" borderId="0" xfId="0" applyFont="1" applyAlignment="1">
      <alignment horizontal="left" vertical="top" wrapText="1" indent="4"/>
    </xf>
    <xf numFmtId="0" fontId="1" fillId="0" borderId="0" xfId="0" applyFont="1" applyAlignment="1">
      <alignment horizontal="center" vertical="top" wrapText="1"/>
    </xf>
    <xf numFmtId="0" fontId="0" fillId="0" borderId="0" xfId="0" applyAlignment="1">
      <alignment vertical="top" wrapText="1"/>
    </xf>
    <xf numFmtId="0" fontId="0" fillId="0" borderId="1" xfId="0" applyBorder="1" applyAlignment="1">
      <alignment horizontal="left"/>
    </xf>
    <xf numFmtId="0" fontId="40" fillId="0" borderId="0" xfId="0" applyFont="1" applyAlignment="1">
      <alignment horizontal="right" wrapText="1"/>
    </xf>
    <xf numFmtId="0" fontId="32" fillId="8" borderId="0" xfId="0" applyFont="1" applyFill="1" applyAlignment="1">
      <alignment horizontal="center" wrapText="1"/>
    </xf>
    <xf numFmtId="0" fontId="0" fillId="8" borderId="0" xfId="0" applyFill="1" applyAlignment="1">
      <alignment horizontal="center" wrapText="1"/>
    </xf>
    <xf numFmtId="167" fontId="0" fillId="5" borderId="1" xfId="0" applyNumberFormat="1" applyFill="1" applyBorder="1" applyAlignment="1">
      <alignment horizontal="center"/>
    </xf>
    <xf numFmtId="0" fontId="9"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vertical="center" wrapText="1"/>
    </xf>
    <xf numFmtId="0" fontId="33" fillId="4" borderId="0" xfId="0" applyFont="1" applyFill="1" applyAlignment="1">
      <alignment horizontal="center"/>
    </xf>
    <xf numFmtId="0" fontId="32" fillId="10" borderId="0" xfId="0" applyFont="1" applyFill="1" applyAlignment="1">
      <alignment horizontal="center"/>
    </xf>
    <xf numFmtId="0" fontId="59" fillId="0" borderId="0" xfId="0" applyFont="1" applyAlignment="1">
      <alignment horizontal="center"/>
    </xf>
    <xf numFmtId="0" fontId="0" fillId="6" borderId="3" xfId="0" applyFill="1" applyBorder="1" applyProtection="1">
      <protection locked="0"/>
    </xf>
    <xf numFmtId="0" fontId="0" fillId="0" borderId="4" xfId="0" applyBorder="1" applyProtection="1">
      <protection locked="0"/>
    </xf>
    <xf numFmtId="0" fontId="0" fillId="0" borderId="11" xfId="0" applyBorder="1"/>
    <xf numFmtId="0" fontId="0" fillId="0" borderId="20" xfId="0" applyBorder="1"/>
    <xf numFmtId="37" fontId="0" fillId="0" borderId="1" xfId="0" applyNumberFormat="1" applyBorder="1" applyAlignment="1">
      <alignment horizontal="center"/>
    </xf>
    <xf numFmtId="167" fontId="0" fillId="5" borderId="3" xfId="0" applyNumberFormat="1" applyFill="1" applyBorder="1" applyAlignment="1">
      <alignment horizontal="center"/>
    </xf>
    <xf numFmtId="167" fontId="0" fillId="5" borderId="4" xfId="0" applyNumberFormat="1" applyFill="1" applyBorder="1" applyAlignment="1">
      <alignment horizontal="center"/>
    </xf>
    <xf numFmtId="0" fontId="0" fillId="0" borderId="5" xfId="0" applyBorder="1" applyAlignment="1">
      <alignment horizontal="left" wrapText="1"/>
    </xf>
    <xf numFmtId="0" fontId="4" fillId="11" borderId="8"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0" fillId="0" borderId="5" xfId="0" applyBorder="1" applyAlignment="1">
      <alignment horizontal="right" wrapText="1"/>
    </xf>
    <xf numFmtId="0" fontId="1" fillId="0" borderId="0" xfId="0" applyFont="1" applyAlignment="1">
      <alignment horizontal="left" wrapText="1"/>
    </xf>
    <xf numFmtId="0" fontId="0" fillId="0" borderId="5" xfId="0" applyBorder="1" applyAlignment="1">
      <alignment horizontal="left" vertical="top" wrapText="1"/>
    </xf>
    <xf numFmtId="0" fontId="0" fillId="0" borderId="0" xfId="0" applyAlignment="1">
      <alignment horizontal="left" vertical="top" wrapText="1"/>
    </xf>
    <xf numFmtId="0" fontId="32" fillId="8" borderId="0" xfId="0" applyFont="1" applyFill="1" applyAlignment="1">
      <alignment horizontal="center"/>
    </xf>
    <xf numFmtId="0" fontId="57" fillId="8" borderId="0" xfId="0" applyFont="1" applyFill="1" applyAlignment="1">
      <alignment horizontal="center"/>
    </xf>
    <xf numFmtId="0" fontId="12" fillId="0" borderId="5" xfId="0" applyFont="1" applyBorder="1"/>
    <xf numFmtId="0" fontId="0" fillId="0" borderId="0" xfId="0"/>
    <xf numFmtId="37" fontId="0" fillId="0" borderId="3" xfId="0" applyNumberFormat="1" applyBorder="1" applyAlignment="1">
      <alignment horizontal="center"/>
    </xf>
    <xf numFmtId="37" fontId="0" fillId="0" borderId="4" xfId="0" applyNumberFormat="1" applyBorder="1" applyAlignment="1">
      <alignment horizontal="center"/>
    </xf>
    <xf numFmtId="0" fontId="0" fillId="0" borderId="10" xfId="0" applyBorder="1" applyProtection="1">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0" fillId="10" borderId="0" xfId="0" applyFill="1" applyAlignment="1">
      <alignment horizontal="center"/>
    </xf>
    <xf numFmtId="0" fontId="39" fillId="13" borderId="3" xfId="0" applyFont="1" applyFill="1" applyBorder="1" applyAlignment="1">
      <alignment horizontal="center" vertical="center"/>
    </xf>
    <xf numFmtId="0" fontId="39" fillId="13" borderId="9" xfId="0" applyFont="1" applyFill="1" applyBorder="1" applyAlignment="1">
      <alignment horizontal="center" vertical="center"/>
    </xf>
    <xf numFmtId="0" fontId="39" fillId="13" borderId="4" xfId="0" applyFont="1" applyFill="1" applyBorder="1" applyAlignment="1">
      <alignment horizontal="center" vertical="center"/>
    </xf>
    <xf numFmtId="0" fontId="23" fillId="10" borderId="0" xfId="0" applyFont="1" applyFill="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 fillId="10" borderId="0" xfId="0" applyFont="1" applyFill="1" applyAlignment="1">
      <alignment horizontal="center"/>
    </xf>
    <xf numFmtId="0" fontId="1" fillId="10" borderId="0" xfId="0" applyFont="1" applyFill="1" applyAlignment="1">
      <alignment horizont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42" fillId="0" borderId="0" xfId="0" applyFont="1" applyAlignment="1">
      <alignment horizontal="left" vertical="top" wrapText="1"/>
    </xf>
    <xf numFmtId="0" fontId="42" fillId="0" borderId="0" xfId="0" applyFont="1" applyAlignment="1">
      <alignment horizontal="left" vertical="center" wrapText="1"/>
    </xf>
    <xf numFmtId="0" fontId="0" fillId="0" borderId="0" xfId="0" applyAlignment="1">
      <alignment horizontal="left" vertical="center" wrapText="1"/>
    </xf>
    <xf numFmtId="0" fontId="0" fillId="8" borderId="17" xfId="0" applyFill="1" applyBorder="1" applyAlignment="1">
      <alignment horizontal="center" vertical="top"/>
    </xf>
    <xf numFmtId="0" fontId="0" fillId="8" borderId="18" xfId="0" applyFill="1" applyBorder="1" applyAlignment="1">
      <alignment horizontal="center" vertical="top"/>
    </xf>
    <xf numFmtId="0" fontId="0" fillId="8" borderId="32" xfId="0" applyFill="1" applyBorder="1" applyAlignment="1">
      <alignment horizontal="center" vertical="top"/>
    </xf>
    <xf numFmtId="0" fontId="1" fillId="2" borderId="3" xfId="0" applyFont="1" applyFill="1" applyBorder="1" applyAlignment="1">
      <alignment horizontal="center"/>
    </xf>
    <xf numFmtId="0" fontId="0" fillId="2" borderId="9" xfId="0" applyFill="1" applyBorder="1" applyAlignment="1">
      <alignment horizontal="center"/>
    </xf>
    <xf numFmtId="0" fontId="0" fillId="2" borderId="4" xfId="0" applyFill="1" applyBorder="1" applyAlignment="1">
      <alignment horizontal="center"/>
    </xf>
    <xf numFmtId="0" fontId="1" fillId="2" borderId="9" xfId="0" applyFont="1" applyFill="1" applyBorder="1" applyAlignment="1">
      <alignment horizontal="center"/>
    </xf>
    <xf numFmtId="0" fontId="1" fillId="2" borderId="4" xfId="0" applyFont="1" applyFill="1" applyBorder="1" applyAlignment="1">
      <alignment horizontal="center"/>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3" xfId="0" applyFont="1" applyFill="1" applyBorder="1" applyAlignment="1">
      <alignment horizontal="center" wrapText="1"/>
    </xf>
    <xf numFmtId="0" fontId="1" fillId="2" borderId="6" xfId="0" applyFont="1" applyFill="1" applyBorder="1" applyAlignment="1">
      <alignment horizontal="center" wrapText="1"/>
    </xf>
    <xf numFmtId="0" fontId="1" fillId="2" borderId="16" xfId="0" applyFont="1" applyFill="1" applyBorder="1" applyAlignment="1">
      <alignment horizontal="center" wrapText="1"/>
    </xf>
    <xf numFmtId="0" fontId="21" fillId="0" borderId="0" xfId="3" applyFill="1"/>
  </cellXfs>
  <cellStyles count="182">
    <cellStyle name="Comma" xfId="1" builtinId="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Hyperlink" xfId="3" builtinId="8"/>
    <cellStyle name="Normal" xfId="0" builtinId="0"/>
    <cellStyle name="Percent" xfId="2" builtinId="5"/>
  </cellStyles>
  <dxfs count="19">
    <dxf>
      <font>
        <color auto="1"/>
      </font>
      <fill>
        <patternFill>
          <bgColor theme="5" tint="0.39994506668294322"/>
        </patternFill>
      </fill>
    </dxf>
    <dxf>
      <font>
        <color theme="7" tint="0.39994506668294322"/>
      </font>
    </dxf>
    <dxf>
      <font>
        <color theme="7" tint="0.39994506668294322"/>
      </font>
      <fill>
        <patternFill>
          <bgColor theme="7" tint="0.39994506668294322"/>
        </patternFill>
      </fill>
    </dxf>
    <dxf>
      <font>
        <color theme="7" tint="0.39994506668294322"/>
      </font>
      <fill>
        <patternFill>
          <bgColor theme="7" tint="0.3999450666829432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05DEE"/>
        </patternFill>
      </fill>
    </dxf>
  </dxfs>
  <tableStyles count="0" defaultTableStyle="TableStyleMedium2" defaultPivotStyle="PivotStyleLight16"/>
  <colors>
    <mruColors>
      <color rgb="FF777777"/>
      <color rgb="FF405DEE"/>
      <color rgb="FF1E41EB"/>
      <color rgb="FF4141EB"/>
      <color rgb="FF3232E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44418</xdr:rowOff>
    </xdr:from>
    <xdr:to>
      <xdr:col>16</xdr:col>
      <xdr:colOff>569595</xdr:colOff>
      <xdr:row>24</xdr:row>
      <xdr:rowOff>108302</xdr:rowOff>
    </xdr:to>
    <xdr:grpSp>
      <xdr:nvGrpSpPr>
        <xdr:cNvPr id="15" name="Group 14">
          <a:extLst>
            <a:ext uri="{FF2B5EF4-FFF2-40B4-BE49-F238E27FC236}">
              <a16:creationId xmlns:a16="http://schemas.microsoft.com/office/drawing/2014/main" id="{BA691677-9176-4AF8-AA6F-8FDF656A2226}"/>
            </a:ext>
          </a:extLst>
        </xdr:cNvPr>
        <xdr:cNvGrpSpPr/>
      </xdr:nvGrpSpPr>
      <xdr:grpSpPr>
        <a:xfrm>
          <a:off x="0" y="4149693"/>
          <a:ext cx="10475595" cy="635384"/>
          <a:chOff x="315566" y="1383771"/>
          <a:chExt cx="9708922" cy="749828"/>
        </a:xfrm>
      </xdr:grpSpPr>
      <xdr:sp macro="" textlink="">
        <xdr:nvSpPr>
          <xdr:cNvPr id="17" name="Rectangle 16">
            <a:extLst>
              <a:ext uri="{FF2B5EF4-FFF2-40B4-BE49-F238E27FC236}">
                <a16:creationId xmlns:a16="http://schemas.microsoft.com/office/drawing/2014/main" id="{0FFD206E-AB74-49AF-BE25-0A3FADFBF6A2}"/>
              </a:ext>
            </a:extLst>
          </xdr:cNvPr>
          <xdr:cNvSpPr/>
        </xdr:nvSpPr>
        <xdr:spPr>
          <a:xfrm>
            <a:off x="2438401" y="1413163"/>
            <a:ext cx="1738745" cy="72043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Population Estimator Tool</a:t>
            </a:r>
          </a:p>
        </xdr:txBody>
      </xdr:sp>
      <xdr:sp macro="" textlink="">
        <xdr:nvSpPr>
          <xdr:cNvPr id="18" name="Rectangle 17">
            <a:extLst>
              <a:ext uri="{FF2B5EF4-FFF2-40B4-BE49-F238E27FC236}">
                <a16:creationId xmlns:a16="http://schemas.microsoft.com/office/drawing/2014/main" id="{AC78077D-BE9B-407D-9B89-494C86D0E488}"/>
              </a:ext>
            </a:extLst>
          </xdr:cNvPr>
          <xdr:cNvSpPr/>
        </xdr:nvSpPr>
        <xdr:spPr>
          <a:xfrm>
            <a:off x="6288900" y="1385937"/>
            <a:ext cx="1738745" cy="720437"/>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Therapy Impact Modeling Tool</a:t>
            </a:r>
          </a:p>
        </xdr:txBody>
      </xdr:sp>
      <xdr:sp macro="" textlink="">
        <xdr:nvSpPr>
          <xdr:cNvPr id="19" name="Rectangle 18">
            <a:extLst>
              <a:ext uri="{FF2B5EF4-FFF2-40B4-BE49-F238E27FC236}">
                <a16:creationId xmlns:a16="http://schemas.microsoft.com/office/drawing/2014/main" id="{768F3511-1604-472B-8538-E5DBE99B5AEB}"/>
              </a:ext>
            </a:extLst>
          </xdr:cNvPr>
          <xdr:cNvSpPr/>
        </xdr:nvSpPr>
        <xdr:spPr>
          <a:xfrm>
            <a:off x="8285743" y="1383771"/>
            <a:ext cx="1738745" cy="720437"/>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Solution Prioritization Tool </a:t>
            </a:r>
          </a:p>
        </xdr:txBody>
      </xdr:sp>
      <xdr:sp macro="" textlink="">
        <xdr:nvSpPr>
          <xdr:cNvPr id="20" name="TextBox 10">
            <a:extLst>
              <a:ext uri="{FF2B5EF4-FFF2-40B4-BE49-F238E27FC236}">
                <a16:creationId xmlns:a16="http://schemas.microsoft.com/office/drawing/2014/main" id="{958FCF8B-259C-4F99-8C95-5C9C741CBC4B}"/>
              </a:ext>
            </a:extLst>
          </xdr:cNvPr>
          <xdr:cNvSpPr txBox="1"/>
        </xdr:nvSpPr>
        <xdr:spPr>
          <a:xfrm>
            <a:off x="315566" y="1450216"/>
            <a:ext cx="2088201" cy="55238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200"/>
              <a:t>Individual Indication</a:t>
            </a:r>
          </a:p>
          <a:p>
            <a:pPr algn="ctr"/>
            <a:r>
              <a:rPr lang="en-US" sz="1200"/>
              <a:t>Assessment</a:t>
            </a:r>
          </a:p>
        </xdr:txBody>
      </xdr:sp>
      <xdr:cxnSp macro="">
        <xdr:nvCxnSpPr>
          <xdr:cNvPr id="21" name="Straight Arrow Connector 20">
            <a:extLst>
              <a:ext uri="{FF2B5EF4-FFF2-40B4-BE49-F238E27FC236}">
                <a16:creationId xmlns:a16="http://schemas.microsoft.com/office/drawing/2014/main" id="{AAC27846-559E-46A7-AEBC-115AFCAE6A5A}"/>
              </a:ext>
            </a:extLst>
          </xdr:cNvPr>
          <xdr:cNvCxnSpPr/>
        </xdr:nvCxnSpPr>
        <xdr:spPr>
          <a:xfrm flipV="1">
            <a:off x="4177145" y="1768637"/>
            <a:ext cx="2111755" cy="27226"/>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C7B9FD53-2809-464D-A28B-70C5DEF11663}"/>
              </a:ext>
            </a:extLst>
          </xdr:cNvPr>
          <xdr:cNvCxnSpPr>
            <a:cxnSpLocks/>
            <a:stCxn id="18" idx="3"/>
            <a:endCxn id="19" idx="1"/>
          </xdr:cNvCxnSpPr>
        </xdr:nvCxnSpPr>
        <xdr:spPr>
          <a:xfrm flipV="1">
            <a:off x="8027644" y="1743990"/>
            <a:ext cx="258099" cy="2166"/>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516256</xdr:colOff>
      <xdr:row>21</xdr:row>
      <xdr:rowOff>76207</xdr:rowOff>
    </xdr:from>
    <xdr:to>
      <xdr:col>10</xdr:col>
      <xdr:colOff>133350</xdr:colOff>
      <xdr:row>24</xdr:row>
      <xdr:rowOff>109620</xdr:rowOff>
    </xdr:to>
    <xdr:sp macro="" textlink="">
      <xdr:nvSpPr>
        <xdr:cNvPr id="23" name="Rectangle 22">
          <a:extLst>
            <a:ext uri="{FF2B5EF4-FFF2-40B4-BE49-F238E27FC236}">
              <a16:creationId xmlns:a16="http://schemas.microsoft.com/office/drawing/2014/main" id="{182506A5-0EF5-443F-B6CD-AFB2CD445927}"/>
            </a:ext>
          </a:extLst>
        </xdr:cNvPr>
        <xdr:cNvSpPr/>
      </xdr:nvSpPr>
      <xdr:spPr>
        <a:xfrm>
          <a:off x="4650106" y="4181482"/>
          <a:ext cx="1388744" cy="604913"/>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Market Adjustment Tool</a:t>
          </a:r>
        </a:p>
      </xdr:txBody>
    </xdr:sp>
    <xdr:clientData/>
  </xdr:twoCellAnchor>
  <xdr:twoCellAnchor>
    <xdr:from>
      <xdr:col>7</xdr:col>
      <xdr:colOff>66675</xdr:colOff>
      <xdr:row>22</xdr:row>
      <xdr:rowOff>188164</xdr:rowOff>
    </xdr:from>
    <xdr:to>
      <xdr:col>7</xdr:col>
      <xdr:colOff>516256</xdr:colOff>
      <xdr:row>23</xdr:row>
      <xdr:rowOff>1</xdr:rowOff>
    </xdr:to>
    <xdr:cxnSp macro="">
      <xdr:nvCxnSpPr>
        <xdr:cNvPr id="25" name="Straight Arrow Connector 24">
          <a:extLst>
            <a:ext uri="{FF2B5EF4-FFF2-40B4-BE49-F238E27FC236}">
              <a16:creationId xmlns:a16="http://schemas.microsoft.com/office/drawing/2014/main" id="{39E43223-38CB-4B32-8782-6F63F2EA7B3E}"/>
            </a:ext>
          </a:extLst>
        </xdr:cNvPr>
        <xdr:cNvCxnSpPr>
          <a:endCxn id="23" idx="1"/>
        </xdr:cNvCxnSpPr>
      </xdr:nvCxnSpPr>
      <xdr:spPr>
        <a:xfrm flipV="1">
          <a:off x="4200525" y="4483939"/>
          <a:ext cx="449581" cy="2337"/>
        </a:xfrm>
        <a:prstGeom prst="straightConnector1">
          <a:avLst/>
        </a:prstGeom>
        <a:ln>
          <a:solidFill>
            <a:srgbClr val="406325"/>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82</xdr:row>
      <xdr:rowOff>77890</xdr:rowOff>
    </xdr:from>
    <xdr:to>
      <xdr:col>3</xdr:col>
      <xdr:colOff>622300</xdr:colOff>
      <xdr:row>118</xdr:row>
      <xdr:rowOff>162560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65100" y="16371990"/>
          <a:ext cx="6642100" cy="4008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norman/Library/Containers/com.microsoft.Excel/Data/Documents/C:/Users/karengeary/Downloads/PayerAssessIndivIndic-unprotected_10-6-21_cmy_Karen-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Drop Down Lis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6" totalsRowShown="0" headerRowDxfId="18" dataDxfId="17">
  <autoFilter ref="A4:A6" xr:uid="{00000000-0009-0000-0100-000001000000}"/>
  <tableColumns count="1">
    <tableColumn id="1" xr3:uid="{00000000-0010-0000-0000-000001000000}" name="Y/N Responses"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8:A20" totalsRowShown="0" headerRowDxfId="15" dataDxfId="14">
  <autoFilter ref="A18:A20" xr:uid="{00000000-0009-0000-0100-000002000000}"/>
  <tableColumns count="1">
    <tableColumn id="1" xr3:uid="{00000000-0010-0000-0100-000001000000}" name="Y/N Responses"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8:A10" totalsRowShown="0" headerRowDxfId="12" dataDxfId="11">
  <autoFilter ref="A8:A10" xr:uid="{00000000-0009-0000-0100-000003000000}"/>
  <tableColumns count="1">
    <tableColumn id="1" xr3:uid="{00000000-0010-0000-0200-000001000000}" name="Known/Estimated"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5" displayName="Table15" ref="A12:A14" totalsRowShown="0" headerRowDxfId="9" dataDxfId="8">
  <autoFilter ref="A12:A14" xr:uid="{00000000-0009-0000-0100-000004000000}"/>
  <tableColumns count="1">
    <tableColumn id="1" xr3:uid="{00000000-0010-0000-0300-000001000000}" name="Yes/No Responses"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22:A24" totalsRowShown="0" headerRowDxfId="6" dataDxfId="5">
  <autoFilter ref="A22:A24" xr:uid="{00000000-0009-0000-0100-000005000000}"/>
  <tableColumns count="1">
    <tableColumn id="1" xr3:uid="{00000000-0010-0000-0400-000001000000}" name="Yes/No Responses"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newdigs@mit.edu" TargetMode="External"/><Relationship Id="rId1" Type="http://schemas.openxmlformats.org/officeDocument/2006/relationships/hyperlink" Target="mailto:newdigs@mit.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newdigs.tuftsmedicalcenter.org/wp-content/uploads/2023/04/P4C-Individual-Indication-Workbook-Instructions.pdf"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payingforcures.org/toolkit-overview/other-considerations/" TargetMode="External"/><Relationship Id="rId13" Type="http://schemas.openxmlformats.org/officeDocument/2006/relationships/hyperlink" Target="https://www.payingforcures.org/toolkit-overview/other-considerations/" TargetMode="External"/><Relationship Id="rId18" Type="http://schemas.openxmlformats.org/officeDocument/2006/relationships/hyperlink" Target="https://payingforcures.mit.edu/toolkit-overview/precision-financing-solutions/" TargetMode="External"/><Relationship Id="rId26" Type="http://schemas.openxmlformats.org/officeDocument/2006/relationships/drawing" Target="../drawings/drawing2.xml"/><Relationship Id="rId3" Type="http://schemas.openxmlformats.org/officeDocument/2006/relationships/hyperlink" Target="https://www.payingforcures.org/toolkit-overview/precision-financing-solutions/" TargetMode="External"/><Relationship Id="rId21" Type="http://schemas.openxmlformats.org/officeDocument/2006/relationships/hyperlink" Target="https://payingforcures.mit.edu/toolkit-overview/precision-financing-solutions/" TargetMode="External"/><Relationship Id="rId7" Type="http://schemas.openxmlformats.org/officeDocument/2006/relationships/hyperlink" Target="https://www.payingforcures.org/toolkit-overview/precision-financing-solutions/" TargetMode="External"/><Relationship Id="rId12" Type="http://schemas.openxmlformats.org/officeDocument/2006/relationships/hyperlink" Target="https://www.payingforcures.org/toolkit-overview/other-considerations/" TargetMode="External"/><Relationship Id="rId17" Type="http://schemas.openxmlformats.org/officeDocument/2006/relationships/hyperlink" Target="https://payingforcures.mit.edu/toolkit-overview/precision-financing-solutions/" TargetMode="External"/><Relationship Id="rId25" Type="http://schemas.openxmlformats.org/officeDocument/2006/relationships/printerSettings" Target="../printerSettings/printerSettings5.bin"/><Relationship Id="rId2" Type="http://schemas.openxmlformats.org/officeDocument/2006/relationships/hyperlink" Target="https://www.payingforcures.org/toolkit-overview/precision-financing-solutions/" TargetMode="External"/><Relationship Id="rId16" Type="http://schemas.openxmlformats.org/officeDocument/2006/relationships/hyperlink" Target="https://payingforcures.mit.edu/toolkit-overview/precision-financing-solutions/" TargetMode="External"/><Relationship Id="rId20" Type="http://schemas.openxmlformats.org/officeDocument/2006/relationships/hyperlink" Target="https://payingforcures.mit.edu/toolkit-overview/precision-financing-solutions/" TargetMode="External"/><Relationship Id="rId1" Type="http://schemas.openxmlformats.org/officeDocument/2006/relationships/hyperlink" Target="https://www.payingforcures.org/toolkit-overview/precision-financing-solutions/" TargetMode="External"/><Relationship Id="rId6" Type="http://schemas.openxmlformats.org/officeDocument/2006/relationships/hyperlink" Target="https://www.payingforcures.org/toolkit-overview/precision-financing-solutions/" TargetMode="External"/><Relationship Id="rId11" Type="http://schemas.openxmlformats.org/officeDocument/2006/relationships/hyperlink" Target="https://www.payingforcures.org/toolkit-overview/other-considerations/" TargetMode="External"/><Relationship Id="rId24" Type="http://schemas.openxmlformats.org/officeDocument/2006/relationships/hyperlink" Target="https://newdigs.tuftsmedicalcenter.org/wp-content/uploads/2023/04/P4C-Individual-Indication-Workbook-Instructions.pdf" TargetMode="External"/><Relationship Id="rId5" Type="http://schemas.openxmlformats.org/officeDocument/2006/relationships/hyperlink" Target="https://www.payingforcures.org/toolkit-overview/precision-financing-solutions/" TargetMode="External"/><Relationship Id="rId15" Type="http://schemas.openxmlformats.org/officeDocument/2006/relationships/hyperlink" Target="https://www.payingforcures.org/toolkit-overview/other-considerations/" TargetMode="External"/><Relationship Id="rId23" Type="http://schemas.openxmlformats.org/officeDocument/2006/relationships/hyperlink" Target="https://payingforcures.mit.edu/wp-content/uploads/2022/01/Supplier-Evaluation-Template-220104.xlsx" TargetMode="External"/><Relationship Id="rId10" Type="http://schemas.openxmlformats.org/officeDocument/2006/relationships/hyperlink" Target="https://www.payingforcures.org/toolkit-overview/other-considerations/" TargetMode="External"/><Relationship Id="rId19" Type="http://schemas.openxmlformats.org/officeDocument/2006/relationships/hyperlink" Target="https://payingforcures.mit.edu/toolkit-overview/precision-financing-solutions/" TargetMode="External"/><Relationship Id="rId4" Type="http://schemas.openxmlformats.org/officeDocument/2006/relationships/hyperlink" Target="https://www.payingforcures.org/toolkit-overview/precision-financing-solutions/" TargetMode="External"/><Relationship Id="rId9" Type="http://schemas.openxmlformats.org/officeDocument/2006/relationships/hyperlink" Target="https://www.payingforcures.org/toolkit-overview/other-considerations/" TargetMode="External"/><Relationship Id="rId14" Type="http://schemas.openxmlformats.org/officeDocument/2006/relationships/hyperlink" Target="https://www.payingforcures.org/toolkit-overview/other-considerations/" TargetMode="External"/><Relationship Id="rId22" Type="http://schemas.openxmlformats.org/officeDocument/2006/relationships/hyperlink" Target="https://payingforcures.mit.edu/toolkit-overview/precision-financing-solu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medlineplus.gov/genetics/condition/progressive-familial-intrahepatic-cholestasis/" TargetMode="External"/><Relationship Id="rId21" Type="http://schemas.openxmlformats.org/officeDocument/2006/relationships/hyperlink" Target="https://www.ncbi.nlm.nih.gov/books/NBK114459/" TargetMode="External"/><Relationship Id="rId42" Type="http://schemas.openxmlformats.org/officeDocument/2006/relationships/hyperlink" Target="https://www.ncbi.nlm.nih.gov/pmc/articles/PMC5780543/" TargetMode="External"/><Relationship Id="rId63" Type="http://schemas.openxmlformats.org/officeDocument/2006/relationships/hyperlink" Target="https://ghr.nlm.nih.gov/condition/leber-congenital-amaurosis" TargetMode="External"/><Relationship Id="rId84" Type="http://schemas.openxmlformats.org/officeDocument/2006/relationships/hyperlink" Target="https://medlineplus.gov/genetics/condition/mucopolysaccharidosis-type-ii/" TargetMode="External"/><Relationship Id="rId138" Type="http://schemas.openxmlformats.org/officeDocument/2006/relationships/hyperlink" Target="https://pubmed.ncbi.nlm.nih.gov/29361840/" TargetMode="External"/><Relationship Id="rId159" Type="http://schemas.openxmlformats.org/officeDocument/2006/relationships/hyperlink" Target="https://medlineplus.gov/genetics/condition/osteoarthritis/" TargetMode="External"/><Relationship Id="rId170" Type="http://schemas.openxmlformats.org/officeDocument/2006/relationships/hyperlink" Target="https://medlineplus.gov/genetics/condition/cdkl5-deficiency-disorder/" TargetMode="External"/><Relationship Id="rId191" Type="http://schemas.openxmlformats.org/officeDocument/2006/relationships/hyperlink" Target="https://medlineplus.gov/genetics/condition/huntington-disease/" TargetMode="External"/><Relationship Id="rId205" Type="http://schemas.openxmlformats.org/officeDocument/2006/relationships/hyperlink" Target="https://www.ncbi.nlm.nih.gov/books/NBK500456/" TargetMode="External"/><Relationship Id="rId107" Type="http://schemas.openxmlformats.org/officeDocument/2006/relationships/hyperlink" Target="https://www.ncbi.nlm.nih.gov/pmc/articles/PMC5003321/" TargetMode="External"/><Relationship Id="rId11" Type="http://schemas.openxmlformats.org/officeDocument/2006/relationships/hyperlink" Target="https://www.ncbi.nlm.nih.gov/books/NBK476309/table/app8.t1/" TargetMode="External"/><Relationship Id="rId32" Type="http://schemas.openxmlformats.org/officeDocument/2006/relationships/hyperlink" Target="https://web.archive.org/web/20190329161935/https:/www1.magellanrx.com/media/604882/2016mrxtrendreport_final.pdf" TargetMode="External"/><Relationship Id="rId53" Type="http://schemas.openxmlformats.org/officeDocument/2006/relationships/hyperlink" Target="https://www.ncbi.nlm.nih.gov/books/NBK1420/" TargetMode="External"/><Relationship Id="rId74" Type="http://schemas.openxmlformats.org/officeDocument/2006/relationships/hyperlink" Target="https://ghr.nlm.nih.gov/condition/menkes-syndrome" TargetMode="External"/><Relationship Id="rId128" Type="http://schemas.openxmlformats.org/officeDocument/2006/relationships/hyperlink" Target="https://www.ncbi.nlm.nih.gov/gene/64421" TargetMode="External"/><Relationship Id="rId149" Type="http://schemas.openxmlformats.org/officeDocument/2006/relationships/hyperlink" Target="https://www.ncbi.nlm.nih.gov/pmc/articles/PMC4528992/" TargetMode="External"/><Relationship Id="rId5" Type="http://schemas.openxmlformats.org/officeDocument/2006/relationships/hyperlink" Target="https://www.unboundmedicine.com/5minute/view/Select-5-Minute-Pediatric-Consult/14002/all/Alpha_1_Antitrypsin_Deficiency" TargetMode="External"/><Relationship Id="rId95" Type="http://schemas.openxmlformats.org/officeDocument/2006/relationships/hyperlink" Target="https://ghr.nlm.nih.gov/condition/x-linked-myotubular-myopathy" TargetMode="External"/><Relationship Id="rId160" Type="http://schemas.openxmlformats.org/officeDocument/2006/relationships/hyperlink" Target="https://medlineplus.gov/genetics/condition/rheumatoid-arthritis/" TargetMode="External"/><Relationship Id="rId181" Type="http://schemas.openxmlformats.org/officeDocument/2006/relationships/hyperlink" Target="https://medlineplus.gov/genetics/condition/dystrophic-epidermolysis-bullosa/" TargetMode="External"/><Relationship Id="rId216" Type="http://schemas.openxmlformats.org/officeDocument/2006/relationships/hyperlink" Target="https://www.ncbi.nlm.nih.gov/books/NBK91457/" TargetMode="External"/><Relationship Id="rId22" Type="http://schemas.openxmlformats.org/officeDocument/2006/relationships/hyperlink" Target="https://www.ncbi.nlm.nih.gov/books/NBK1303/" TargetMode="External"/><Relationship Id="rId43" Type="http://schemas.openxmlformats.org/officeDocument/2006/relationships/hyperlink" Target="https://erj.ersjournals.com/content/50/3/1700198" TargetMode="External"/><Relationship Id="rId64" Type="http://schemas.openxmlformats.org/officeDocument/2006/relationships/hyperlink" Target="https://rarediseases.org/rare-diseases/leber-hereditary-optic-neuropathy/" TargetMode="External"/><Relationship Id="rId118" Type="http://schemas.openxmlformats.org/officeDocument/2006/relationships/hyperlink" Target="https://medlineplus.gov/genetics/condition/progressive-supranuclear-palsy/" TargetMode="External"/><Relationship Id="rId139" Type="http://schemas.openxmlformats.org/officeDocument/2006/relationships/hyperlink" Target="https://medlineplus.gov/genetics/condition/usher-syndrome/" TargetMode="External"/><Relationship Id="rId85" Type="http://schemas.openxmlformats.org/officeDocument/2006/relationships/hyperlink" Target="https://medlineplus.gov/genetics/condition/mucopolysaccharidosis-type-iii/" TargetMode="External"/><Relationship Id="rId150" Type="http://schemas.openxmlformats.org/officeDocument/2006/relationships/hyperlink" Target="https://www.ncbi.nlm.nih.gov/books/NBK326436/" TargetMode="External"/><Relationship Id="rId171" Type="http://schemas.openxmlformats.org/officeDocument/2006/relationships/hyperlink" Target="https://medlineplus.gov/genetics/condition/chronic-granulomatous-disease/" TargetMode="External"/><Relationship Id="rId192" Type="http://schemas.openxmlformats.org/officeDocument/2006/relationships/hyperlink" Target="https://www.goodrx.com/" TargetMode="External"/><Relationship Id="rId206" Type="http://schemas.openxmlformats.org/officeDocument/2006/relationships/hyperlink" Target="https://www.ncbi.nlm.nih.gov/books/NBK1384/" TargetMode="External"/><Relationship Id="rId12" Type="http://schemas.openxmlformats.org/officeDocument/2006/relationships/hyperlink" Target="https://www.cff.org/Research/Researcher-Resources/Patient-Registry/Understanding-Changes-in-Life-Expectancy/" TargetMode="External"/><Relationship Id="rId33" Type="http://schemas.openxmlformats.org/officeDocument/2006/relationships/hyperlink" Target="https://www.fiercepharma.com/sales-and-marketing/biogen-prices-new-long-acting-hemophilia-med-eye-on-patient-switching" TargetMode="External"/><Relationship Id="rId108" Type="http://schemas.openxmlformats.org/officeDocument/2006/relationships/hyperlink" Target="https://www.goodrx.com/lodosyn" TargetMode="External"/><Relationship Id="rId129" Type="http://schemas.openxmlformats.org/officeDocument/2006/relationships/hyperlink" Target="http://help.carecentrix.com/ProviderResources/CURRENT_MEDS.xls" TargetMode="External"/><Relationship Id="rId54" Type="http://schemas.openxmlformats.org/officeDocument/2006/relationships/hyperlink" Target="https://ghr.nlm.nih.gov/condition/immune-dysregulation-polyendocrinopathy-enteropathy-x-linked-syndrome" TargetMode="External"/><Relationship Id="rId75" Type="http://schemas.openxmlformats.org/officeDocument/2006/relationships/hyperlink" Target="https://www.ninds.nih.gov/Disorders/All-Disorders/Menkes-Disease-Information-Page" TargetMode="External"/><Relationship Id="rId96" Type="http://schemas.openxmlformats.org/officeDocument/2006/relationships/hyperlink" Target="https://medlineplus.gov/genetics/condition/netherton-syndrome/" TargetMode="External"/><Relationship Id="rId140" Type="http://schemas.openxmlformats.org/officeDocument/2006/relationships/hyperlink" Target="https://investor.sangamo.com/news-releases/news-release-details/sangamo-announces-uk-authorization-phase-12-clinical-trial" TargetMode="External"/><Relationship Id="rId161" Type="http://schemas.openxmlformats.org/officeDocument/2006/relationships/hyperlink" Target="https://medlineplus.gov/genetics/condition/psoriatic-arthritis/" TargetMode="External"/><Relationship Id="rId182" Type="http://schemas.openxmlformats.org/officeDocument/2006/relationships/hyperlink" Target="https://medlineplus.gov/genetics/condition/junctional-epidermolysis-bullosa/" TargetMode="External"/><Relationship Id="rId217" Type="http://schemas.openxmlformats.org/officeDocument/2006/relationships/hyperlink" Target="https://www.ncbi.nlm.nih.gov/books/NBK1234/" TargetMode="External"/><Relationship Id="rId6" Type="http://schemas.openxmlformats.org/officeDocument/2006/relationships/hyperlink" Target="http://www.amyloidosis.org/wp-content/uploads/2017/05/2017-ATTR-guide.pdf" TargetMode="External"/><Relationship Id="rId23" Type="http://schemas.openxmlformats.org/officeDocument/2006/relationships/hyperlink" Target="https://www.ncbi.nlm.nih.gov/books/NBK1313/" TargetMode="External"/><Relationship Id="rId119" Type="http://schemas.openxmlformats.org/officeDocument/2006/relationships/hyperlink" Target="https://medlineplus.gov/genetics/condition/pyruvate-kinase-deficiency/" TargetMode="External"/><Relationship Id="rId44" Type="http://schemas.openxmlformats.org/officeDocument/2006/relationships/hyperlink" Target="https://www.keionline.org/wp-content/uploads/2018/03/Juxtapid-Failure2disclose-Daniel-Rader-19Mar2018.pdf" TargetMode="External"/><Relationship Id="rId65" Type="http://schemas.openxmlformats.org/officeDocument/2006/relationships/hyperlink" Target="https://www.rocketpharma.com/lad-i-clinical-trial-for-health-care-providers/" TargetMode="External"/><Relationship Id="rId86" Type="http://schemas.openxmlformats.org/officeDocument/2006/relationships/hyperlink" Target="https://medlineplus.gov/genetics/condition/mucopolysaccharidosis-type-iii/" TargetMode="External"/><Relationship Id="rId130" Type="http://schemas.openxmlformats.org/officeDocument/2006/relationships/hyperlink" Target="https://www.nature.com/articles/gene201116" TargetMode="External"/><Relationship Id="rId151" Type="http://schemas.openxmlformats.org/officeDocument/2006/relationships/hyperlink" Target="https://www.azuravascularcare.com/infopad/diabetic-foot-amputation-stats/" TargetMode="External"/><Relationship Id="rId172" Type="http://schemas.openxmlformats.org/officeDocument/2006/relationships/hyperlink" Target="https://medlineplus.gov/genetics/condition/choroideremia/" TargetMode="External"/><Relationship Id="rId193" Type="http://schemas.openxmlformats.org/officeDocument/2006/relationships/hyperlink" Target="https://www.drugs.com/price-guide/" TargetMode="External"/><Relationship Id="rId207" Type="http://schemas.openxmlformats.org/officeDocument/2006/relationships/hyperlink" Target="https://link.springer.com/article/10.1007/s12325-018-0775-0/tables/1" TargetMode="External"/><Relationship Id="rId13" Type="http://schemas.openxmlformats.org/officeDocument/2006/relationships/hyperlink" Target="https://www.advisory.com/daily-briefing/2019/10/28/cf-drug" TargetMode="External"/><Relationship Id="rId109" Type="http://schemas.openxmlformats.org/officeDocument/2006/relationships/hyperlink" Target="https://medlineplus.gov/genetics/condition/parkinson-disease/" TargetMode="External"/><Relationship Id="rId34" Type="http://schemas.openxmlformats.org/officeDocument/2006/relationships/hyperlink" Target="https://www.evaluate.com/vantage/articles/news/hemlibra-shows-it-cheaper-and-better" TargetMode="External"/><Relationship Id="rId55" Type="http://schemas.openxmlformats.org/officeDocument/2006/relationships/hyperlink" Target="http://icer-review.org/wp-content/uploads/2016/01/Costs-PCI-CABG-DM-CAD-March-2013.pdf" TargetMode="External"/><Relationship Id="rId76" Type="http://schemas.openxmlformats.org/officeDocument/2006/relationships/hyperlink" Target="https://medlineplus.gov/genetics/condition/methylmalonic-acidemia/" TargetMode="External"/><Relationship Id="rId97" Type="http://schemas.openxmlformats.org/officeDocument/2006/relationships/hyperlink" Target="https://www.ncbi.nlm.nih.gov/books/NBK430837/" TargetMode="External"/><Relationship Id="rId120" Type="http://schemas.openxmlformats.org/officeDocument/2006/relationships/hyperlink" Target="https://medlineplus.gov/genetics/condition/retinitis-pigmentosa/" TargetMode="External"/><Relationship Id="rId141" Type="http://schemas.openxmlformats.org/officeDocument/2006/relationships/hyperlink" Target="https://www.ncbi.nlm.nih.gov/books/NBK537328/" TargetMode="External"/><Relationship Id="rId7" Type="http://schemas.openxmlformats.org/officeDocument/2006/relationships/hyperlink" Target="https://www.ajmc.com/view/economic-burden-limiting-proper-healthcare-delivery-management-and-improvement-of-patient-outcomes" TargetMode="External"/><Relationship Id="rId162" Type="http://schemas.openxmlformats.org/officeDocument/2006/relationships/hyperlink" Target="https://medlineplus.gov/genetics/condition/friedreich-ataxia/" TargetMode="External"/><Relationship Id="rId183" Type="http://schemas.openxmlformats.org/officeDocument/2006/relationships/hyperlink" Target="https://medlineplus.gov/genetics/condition/fragile-x-syndrome/" TargetMode="External"/><Relationship Id="rId218" Type="http://schemas.openxmlformats.org/officeDocument/2006/relationships/hyperlink" Target="https://www.ncbi.nlm.nih.gov/books/NBK1337/" TargetMode="External"/><Relationship Id="rId24" Type="http://schemas.openxmlformats.org/officeDocument/2006/relationships/hyperlink" Target="https://fabrydiseasenews.com/fabry-disease-life-expectancy/" TargetMode="External"/><Relationship Id="rId45" Type="http://schemas.openxmlformats.org/officeDocument/2006/relationships/hyperlink" Target="https://www.wellrx.com/prescriptions/juxtapid/" TargetMode="External"/><Relationship Id="rId66" Type="http://schemas.openxmlformats.org/officeDocument/2006/relationships/hyperlink" Target="https://www.ncbi.nlm.nih.gov/books/NBK539770/" TargetMode="External"/><Relationship Id="rId87" Type="http://schemas.openxmlformats.org/officeDocument/2006/relationships/hyperlink" Target="https://reference.medscape.com/drug/vimizim-elosulfase-alfa-999909" TargetMode="External"/><Relationship Id="rId110" Type="http://schemas.openxmlformats.org/officeDocument/2006/relationships/hyperlink" Target="https://www.healthline.com/health/pemphigus-vulgaris" TargetMode="External"/><Relationship Id="rId131" Type="http://schemas.openxmlformats.org/officeDocument/2006/relationships/hyperlink" Target="https://ghr.nlm.nih.gov/condition/x-linked-severe-combined-immunodeficiency" TargetMode="External"/><Relationship Id="rId152" Type="http://schemas.openxmlformats.org/officeDocument/2006/relationships/hyperlink" Target="https://medlineplus.gov/genetics/condition/achromatopsia/" TargetMode="External"/><Relationship Id="rId173" Type="http://schemas.openxmlformats.org/officeDocument/2006/relationships/hyperlink" Target="https://medlineplus.gov/genetics/condition/crigler-najjar-syndrome/" TargetMode="External"/><Relationship Id="rId194" Type="http://schemas.openxmlformats.org/officeDocument/2006/relationships/hyperlink" Target="https://reference.medscape.com/drug/" TargetMode="External"/><Relationship Id="rId208" Type="http://schemas.openxmlformats.org/officeDocument/2006/relationships/hyperlink" Target="https://www.goodrx.com/anti-epileptics" TargetMode="External"/><Relationship Id="rId14" Type="http://schemas.openxmlformats.org/officeDocument/2006/relationships/hyperlink" Target="https://khn.org/news/the-high-cost-of-hope-when-the-parallel-interests-of-pharma-and-families-collide/" TargetMode="External"/><Relationship Id="rId35" Type="http://schemas.openxmlformats.org/officeDocument/2006/relationships/hyperlink" Target="https://www.ncbi.nlm.nih.gov/pmc/articles/PMC3208966/" TargetMode="External"/><Relationship Id="rId56" Type="http://schemas.openxmlformats.org/officeDocument/2006/relationships/hyperlink" Target="https://www.medscape.com/answers/155919-15097/what-is-the-prognosis-of-acute-myocardial-infarction-mi-heart-attack" TargetMode="External"/><Relationship Id="rId77" Type="http://schemas.openxmlformats.org/officeDocument/2006/relationships/hyperlink" Target="https://www.orpha.net/consor/www/cgi-bin/OC_Exp.php?lng=EN&amp;Expert=27" TargetMode="External"/><Relationship Id="rId100" Type="http://schemas.openxmlformats.org/officeDocument/2006/relationships/hyperlink" Target="https://www.fiercepharma.com/pharma/top-20-most-expensive-drugs-2018-featuring-names-big-and-small" TargetMode="External"/><Relationship Id="rId8" Type="http://schemas.openxmlformats.org/officeDocument/2006/relationships/hyperlink" Target="https://www.ncbi.nlm.nih.gov/pmc/articles/PMC5686625/" TargetMode="External"/><Relationship Id="rId51" Type="http://schemas.openxmlformats.org/officeDocument/2006/relationships/hyperlink" Target="https://link.springer.com/article/10.1007/s40801-020-00183-x" TargetMode="External"/><Relationship Id="rId72" Type="http://schemas.openxmlformats.org/officeDocument/2006/relationships/hyperlink" Target="https://www.webmd.com/eye-health/macular-degeneration/wet-amd-signs-symptoms" TargetMode="External"/><Relationship Id="rId93" Type="http://schemas.openxmlformats.org/officeDocument/2006/relationships/hyperlink" Target="https://ghr.nlm.nih.gov/condition/spinal-muscular-atrophy" TargetMode="External"/><Relationship Id="rId98" Type="http://schemas.openxmlformats.org/officeDocument/2006/relationships/hyperlink" Target="https://www.niddk.nih.gov/health-information/diabetes/overview/preventing-problems/nerve-damage-diabetic-neuropathies" TargetMode="External"/><Relationship Id="rId121" Type="http://schemas.openxmlformats.org/officeDocument/2006/relationships/hyperlink" Target="https://medlineplus.gov/genetics/condition/retinitis-pigmentosa/" TargetMode="External"/><Relationship Id="rId142" Type="http://schemas.openxmlformats.org/officeDocument/2006/relationships/hyperlink" Target="https://medlineplus.gov/genetics/condition/wiskott-aldrich-syndrome/" TargetMode="External"/><Relationship Id="rId163" Type="http://schemas.openxmlformats.org/officeDocument/2006/relationships/hyperlink" Target="https://medlineplus.gov/genetics/condition/spinal-and-bulbar-muscular-atrophy/" TargetMode="External"/><Relationship Id="rId184" Type="http://schemas.openxmlformats.org/officeDocument/2006/relationships/hyperlink" Target="https://medlineplus.gov/genetics/condition/glycogen-storage-disease-type-i/" TargetMode="External"/><Relationship Id="rId189" Type="http://schemas.openxmlformats.org/officeDocument/2006/relationships/hyperlink" Target="https://www.ncbi.nlm.nih.gov/books/NBK1283/" TargetMode="External"/><Relationship Id="rId219" Type="http://schemas.openxmlformats.org/officeDocument/2006/relationships/hyperlink" Target="https://www.ncbi.nlm.nih.gov/books/NBK99496/" TargetMode="External"/><Relationship Id="rId3" Type="http://schemas.openxmlformats.org/officeDocument/2006/relationships/hyperlink" Target="https://www.hindawi.com/journals/ijpedi/2018/1739831/" TargetMode="External"/><Relationship Id="rId214" Type="http://schemas.openxmlformats.org/officeDocument/2006/relationships/hyperlink" Target="https://www.ncbi.nlm.nih.gov/books/NBK1363/" TargetMode="External"/><Relationship Id="rId25" Type="http://schemas.openxmlformats.org/officeDocument/2006/relationships/hyperlink" Target="https://www.ncbi.nlm.nih.gov/books/NBK534700/" TargetMode="External"/><Relationship Id="rId46" Type="http://schemas.openxmlformats.org/officeDocument/2006/relationships/hyperlink" Target="https://www.ahip.org/wp-content/uploads/2016/04/HighPriceDrugsReport.pdf" TargetMode="External"/><Relationship Id="rId67" Type="http://schemas.openxmlformats.org/officeDocument/2006/relationships/hyperlink" Target="https://ghr.nlm.nih.gov/condition/metachromatic-leukodystrophy" TargetMode="External"/><Relationship Id="rId116" Type="http://schemas.openxmlformats.org/officeDocument/2006/relationships/hyperlink" Target="https://www.ncbi.nlm.nih.gov/pmc/articles/PMC1994028/" TargetMode="External"/><Relationship Id="rId137" Type="http://schemas.openxmlformats.org/officeDocument/2006/relationships/hyperlink" Target="https://medlineplus.gov/genetics/condition/beta-thalassemia/" TargetMode="External"/><Relationship Id="rId158" Type="http://schemas.openxmlformats.org/officeDocument/2006/relationships/hyperlink" Target="https://medlineplus.gov/genetics/condition/alzheimer-disease/" TargetMode="External"/><Relationship Id="rId20" Type="http://schemas.openxmlformats.org/officeDocument/2006/relationships/hyperlink" Target="https://icer-review.org/wp-content/uploads/2018/12/ICER_DMD_Evidence_Presentation_072519-x1Aug2017-1-2.pdf" TargetMode="External"/><Relationship Id="rId41" Type="http://schemas.openxmlformats.org/officeDocument/2006/relationships/hyperlink" Target="https://www.ncbi.nlm.nih.gov/pmc/articles/PMC5780543/" TargetMode="External"/><Relationship Id="rId62" Type="http://schemas.openxmlformats.org/officeDocument/2006/relationships/hyperlink" Target="https://www.ahajournals.org/doi/pdf/10.1161/STROKEAHA.117.017199" TargetMode="External"/><Relationship Id="rId83" Type="http://schemas.openxmlformats.org/officeDocument/2006/relationships/hyperlink" Target="http://www.elaprase.com/hcp/dosing-administration" TargetMode="External"/><Relationship Id="rId88" Type="http://schemas.openxmlformats.org/officeDocument/2006/relationships/hyperlink" Target="https://medlineplus.gov/genetics/condition/mucopolysaccharidosis-type-iv/" TargetMode="External"/><Relationship Id="rId111" Type="http://schemas.openxmlformats.org/officeDocument/2006/relationships/hyperlink" Target="https://medlineplus.gov/genetics/condition/paroxysmal-nocturnal-hemoglobinuria/" TargetMode="External"/><Relationship Id="rId132" Type="http://schemas.openxmlformats.org/officeDocument/2006/relationships/hyperlink" Target="https://www.ncbi.nlm.nih.gov/pmc/articles/PMC4323700/" TargetMode="External"/><Relationship Id="rId153" Type="http://schemas.openxmlformats.org/officeDocument/2006/relationships/hyperlink" Target="https://icer-review.org/wp-content/uploads/2018/02/ICER_Amyloidosis_Final_Evidence_Report_101718.pdf" TargetMode="External"/><Relationship Id="rId174" Type="http://schemas.openxmlformats.org/officeDocument/2006/relationships/hyperlink" Target="https://medlineplus.gov/genetics/condition/danon-disease/" TargetMode="External"/><Relationship Id="rId179" Type="http://schemas.openxmlformats.org/officeDocument/2006/relationships/hyperlink" Target="https://medlineplus.gov/genetics/condition/grn-related-frontotemporal-lobar-degeneration/" TargetMode="External"/><Relationship Id="rId195" Type="http://schemas.openxmlformats.org/officeDocument/2006/relationships/hyperlink" Target="https://medlineplus.gov/genetics/condition/atopic-dermatitis/" TargetMode="External"/><Relationship Id="rId209" Type="http://schemas.openxmlformats.org/officeDocument/2006/relationships/hyperlink" Target="http://www.neurosurgeryresident.net/E.%20Epilepsy%20and%20Seizures/E25.%20RNS.pdf" TargetMode="External"/><Relationship Id="rId190" Type="http://schemas.openxmlformats.org/officeDocument/2006/relationships/hyperlink" Target="https://www.ncbi.nlm.nih.gov/books/NBK1305/" TargetMode="External"/><Relationship Id="rId204" Type="http://schemas.openxmlformats.org/officeDocument/2006/relationships/hyperlink" Target="https://www.ncbi.nlm.nih.gov/books/NBK1447/" TargetMode="External"/><Relationship Id="rId220" Type="http://schemas.openxmlformats.org/officeDocument/2006/relationships/hyperlink" Target="https://www.ncbi.nlm.nih.gov/books/NBK1458/" TargetMode="External"/><Relationship Id="rId15" Type="http://schemas.openxmlformats.org/officeDocument/2006/relationships/hyperlink" Target="https://www.webmd.com/children/understanding-muscular-dystrophy-basics" TargetMode="External"/><Relationship Id="rId36" Type="http://schemas.openxmlformats.org/officeDocument/2006/relationships/hyperlink" Target="https://www.medscape.com/viewarticle/879422" TargetMode="External"/><Relationship Id="rId57" Type="http://schemas.openxmlformats.org/officeDocument/2006/relationships/hyperlink" Target="https://ghr.nlm.nih.gov/condition/atypical-hemolytic-uremic-syndrome" TargetMode="External"/><Relationship Id="rId106" Type="http://schemas.openxmlformats.org/officeDocument/2006/relationships/hyperlink" Target="https://www.fiercebiotech.com/medical-devices/medtronic-touts-its-upgraded-wearable-neurostimulator-to-evaluate-overactive" TargetMode="External"/><Relationship Id="rId127" Type="http://schemas.openxmlformats.org/officeDocument/2006/relationships/hyperlink" Target="https://rarediseases.org/rare-diseases/severe-combined-immunodeficiency/" TargetMode="External"/><Relationship Id="rId10" Type="http://schemas.openxmlformats.org/officeDocument/2006/relationships/hyperlink" Target="https://professionals.optumrx.com/content/dam/optum3/professional-optumrx/news/rxnews/drug-approvals/drugapprovals_brineura_2017-0428.pdf" TargetMode="External"/><Relationship Id="rId31" Type="http://schemas.openxmlformats.org/officeDocument/2006/relationships/hyperlink" Target="http://www.pmprb-cepmb.gc.ca/view.asp?ccid=632" TargetMode="External"/><Relationship Id="rId52" Type="http://schemas.openxmlformats.org/officeDocument/2006/relationships/hyperlink" Target="https://payorsolutions.cvshealth.com/insights/new-horizons-for-pah-treatments" TargetMode="External"/><Relationship Id="rId73" Type="http://schemas.openxmlformats.org/officeDocument/2006/relationships/hyperlink" Target="https://www.webmd.com/eye-health/macular-degeneration/wet-amd-treatments" TargetMode="External"/><Relationship Id="rId78" Type="http://schemas.openxmlformats.org/officeDocument/2006/relationships/hyperlink" Target="https://www.rxlist.com/aldurazyme-drug.htm" TargetMode="External"/><Relationship Id="rId94" Type="http://schemas.openxmlformats.org/officeDocument/2006/relationships/hyperlink" Target="https://rarediseases.org/rare-diseases/x-linked-myotubular-myopathy/" TargetMode="External"/><Relationship Id="rId99" Type="http://schemas.openxmlformats.org/officeDocument/2006/relationships/hyperlink" Target="https://medlineplus.gov/genetics/condition/niemann-pick-disease/" TargetMode="External"/><Relationship Id="rId101" Type="http://schemas.openxmlformats.org/officeDocument/2006/relationships/hyperlink" Target="https://medlineplus.gov/genetics/condition/ornithine-transcarbamylase-deficiency/" TargetMode="External"/><Relationship Id="rId122" Type="http://schemas.openxmlformats.org/officeDocument/2006/relationships/hyperlink" Target="https://ghr.nlm.nih.gov/condition/x-linked-juvenile-retinoschisis" TargetMode="External"/><Relationship Id="rId143" Type="http://schemas.openxmlformats.org/officeDocument/2006/relationships/hyperlink" Target="https://medlineplus.gov/genetics/condition/wilson-disease/" TargetMode="External"/><Relationship Id="rId148" Type="http://schemas.openxmlformats.org/officeDocument/2006/relationships/hyperlink" Target="https://www.ncbi.nlm.nih.gov/pmc/articles/PMC2903966/" TargetMode="External"/><Relationship Id="rId164" Type="http://schemas.openxmlformats.org/officeDocument/2006/relationships/hyperlink" Target="https://medlineplus.gov/genetics/condition/spinocerebellar-ataxia-type-3/" TargetMode="External"/><Relationship Id="rId169" Type="http://schemas.openxmlformats.org/officeDocument/2006/relationships/hyperlink" Target="https://link.springer.com/article/10.1007/s10741-019-09899-7" TargetMode="External"/><Relationship Id="rId185" Type="http://schemas.openxmlformats.org/officeDocument/2006/relationships/hyperlink" Target="https://medlineplus.gov/genetics/condition/pompe-disease/" TargetMode="External"/><Relationship Id="rId4" Type="http://schemas.openxmlformats.org/officeDocument/2006/relationships/hyperlink" Target="https://www.orpha.net/consor/cgi-bin/OC_Exp.php?Expert=43" TargetMode="External"/><Relationship Id="rId9" Type="http://schemas.openxmlformats.org/officeDocument/2006/relationships/hyperlink" Target="https://www.milliman.com/en/Insight/2017-US-organ-and-tissue-transplant-cost-estimates-and-discussion" TargetMode="External"/><Relationship Id="rId180" Type="http://schemas.openxmlformats.org/officeDocument/2006/relationships/hyperlink" Target="https://www.webmd.com/alzheimers/guide/frontotemporal-dementia" TargetMode="External"/><Relationship Id="rId210" Type="http://schemas.openxmlformats.org/officeDocument/2006/relationships/hyperlink" Target="https://n.neurology.org/content/95/10/e1404/tab-figures-data" TargetMode="External"/><Relationship Id="rId215" Type="http://schemas.openxmlformats.org/officeDocument/2006/relationships/hyperlink" Target="https://www.ncbi.nlm.nih.gov/pmc/articles/PMC4567481/" TargetMode="External"/><Relationship Id="rId26" Type="http://schemas.openxmlformats.org/officeDocument/2006/relationships/hyperlink" Target="https://www.fiercepharma.com/pharma/top-20-most-expensive-drugs-2018-featuring-names-big-and-small" TargetMode="External"/><Relationship Id="rId47" Type="http://schemas.openxmlformats.org/officeDocument/2006/relationships/hyperlink" Target="https://icer-review.org/wp-content/uploads/2018/11/HAE-RAAG_111518.pdf" TargetMode="External"/><Relationship Id="rId68" Type="http://schemas.openxmlformats.org/officeDocument/2006/relationships/hyperlink" Target="https://rarediseases.org/rare-diseases/leukodystrophy-krabbes/" TargetMode="External"/><Relationship Id="rId89" Type="http://schemas.openxmlformats.org/officeDocument/2006/relationships/hyperlink" Target="https://medlineplus.gov/genetics/condition/multiple-sclerosis/" TargetMode="External"/><Relationship Id="rId112" Type="http://schemas.openxmlformats.org/officeDocument/2006/relationships/hyperlink" Target="https://pubmed.ncbi.nlm.nih.gov/22266247/" TargetMode="External"/><Relationship Id="rId133" Type="http://schemas.openxmlformats.org/officeDocument/2006/relationships/hyperlink" Target="https://pubmed.ncbi.nlm.nih.gov/9002014/" TargetMode="External"/><Relationship Id="rId154" Type="http://schemas.openxmlformats.org/officeDocument/2006/relationships/hyperlink" Target="https://medlineplus.gov/genetics/condition/amyotrophic-lateral-sclerosis/" TargetMode="External"/><Relationship Id="rId175" Type="http://schemas.openxmlformats.org/officeDocument/2006/relationships/hyperlink" Target="https://medlineplus.gov/genetics/condition/dementia-with-lewy-bodies/" TargetMode="External"/><Relationship Id="rId196" Type="http://schemas.openxmlformats.org/officeDocument/2006/relationships/hyperlink" Target="https://medlineplus.gov/genetics/condition/sjogren-syndrome/" TargetMode="External"/><Relationship Id="rId200" Type="http://schemas.openxmlformats.org/officeDocument/2006/relationships/hyperlink" Target="https://www.milliman.com/en/Insight/2017-US-organ-and-tissue-transplant-cost-estimates-and-discussion" TargetMode="External"/><Relationship Id="rId16" Type="http://schemas.openxmlformats.org/officeDocument/2006/relationships/hyperlink" Target="https://www.ncbi.nlm.nih.gov/books/NBK97333/" TargetMode="External"/><Relationship Id="rId221" Type="http://schemas.openxmlformats.org/officeDocument/2006/relationships/hyperlink" Target="https://www.statpearls.com/ArticleLibrary/viewarticle/20123" TargetMode="External"/><Relationship Id="rId37" Type="http://schemas.openxmlformats.org/officeDocument/2006/relationships/hyperlink" Target="https://health.costhelper.com/cochlear-implant.html" TargetMode="External"/><Relationship Id="rId58" Type="http://schemas.openxmlformats.org/officeDocument/2006/relationships/hyperlink" Target="https://www.ncbi.nlm.nih.gov/books/NBK459269/" TargetMode="External"/><Relationship Id="rId79" Type="http://schemas.openxmlformats.org/officeDocument/2006/relationships/hyperlink" Target="https://www.drugs.com/price-guide/aldurazyme" TargetMode="External"/><Relationship Id="rId102" Type="http://schemas.openxmlformats.org/officeDocument/2006/relationships/hyperlink" Target="https://www.pharmaceutical-technology.com/features/most-expensive-drugs-us/" TargetMode="External"/><Relationship Id="rId123" Type="http://schemas.openxmlformats.org/officeDocument/2006/relationships/hyperlink" Target="https://medlineplus.gov/genetics/condition/rett-syndrome/" TargetMode="External"/><Relationship Id="rId144" Type="http://schemas.openxmlformats.org/officeDocument/2006/relationships/hyperlink" Target="https://www.mayoclinic.org/diseases-conditions/wilsons-disease/diagnosis-treatment/drc-20353256" TargetMode="External"/><Relationship Id="rId90" Type="http://schemas.openxmlformats.org/officeDocument/2006/relationships/hyperlink" Target="https://www.mayoclinic.org/diseases-conditions/multiple-sclerosis/diagnosis-treatment/drc-20350274" TargetMode="External"/><Relationship Id="rId165" Type="http://schemas.openxmlformats.org/officeDocument/2006/relationships/hyperlink" Target="https://medlineplus.gov/genetics/condition/bardet-biedl-syndrome/" TargetMode="External"/><Relationship Id="rId186" Type="http://schemas.openxmlformats.org/officeDocument/2006/relationships/hyperlink" Target="https://medlineplus.gov/genetics/condition/gm1-gangliosidosis/" TargetMode="External"/><Relationship Id="rId211" Type="http://schemas.openxmlformats.org/officeDocument/2006/relationships/hyperlink" Target="https://pubmed.ncbi.nlm.nih.gov/26138748/" TargetMode="External"/><Relationship Id="rId27" Type="http://schemas.openxmlformats.org/officeDocument/2006/relationships/hyperlink" Target="https://www.ahip.org/wp-content/uploads/2016/04/HighPriceDrugsReport.pdf" TargetMode="External"/><Relationship Id="rId48" Type="http://schemas.openxmlformats.org/officeDocument/2006/relationships/hyperlink" Target="https://www.medscape.com/viewarticle/809475_3" TargetMode="External"/><Relationship Id="rId69" Type="http://schemas.openxmlformats.org/officeDocument/2006/relationships/hyperlink" Target="https://ghr.nlm.nih.gov/condition/systemic-lupus-erythematosus" TargetMode="External"/><Relationship Id="rId113" Type="http://schemas.openxmlformats.org/officeDocument/2006/relationships/hyperlink" Target="https://bmccardiovascdisord.biomedcentral.com/articles/10.1186/1471-2261-5-14" TargetMode="External"/><Relationship Id="rId134" Type="http://schemas.openxmlformats.org/officeDocument/2006/relationships/hyperlink" Target="https://pubmed.ncbi.nlm.nih.gov/12695134/" TargetMode="External"/><Relationship Id="rId80" Type="http://schemas.openxmlformats.org/officeDocument/2006/relationships/hyperlink" Target="https://medlineplus.gov/genetics/condition/mucopolysaccharidosis-type-i/" TargetMode="External"/><Relationship Id="rId155" Type="http://schemas.openxmlformats.org/officeDocument/2006/relationships/hyperlink" Target="https://medlineplus.gov/genetics/condition/angelman-syndrome/" TargetMode="External"/><Relationship Id="rId176" Type="http://schemas.openxmlformats.org/officeDocument/2006/relationships/hyperlink" Target="https://medlineplus.gov/genetics/condition/type-1-diabetes/" TargetMode="External"/><Relationship Id="rId197" Type="http://schemas.openxmlformats.org/officeDocument/2006/relationships/hyperlink" Target="https://www.aans.org/Patients/Neurosurgical-Conditions-and-Treatments/Traumatic-Brain-Injury" TargetMode="External"/><Relationship Id="rId201" Type="http://schemas.openxmlformats.org/officeDocument/2006/relationships/hyperlink" Target="https://www.pharmaceutical-technology.com/features/most-expensive-drugs-us/" TargetMode="External"/><Relationship Id="rId17" Type="http://schemas.openxmlformats.org/officeDocument/2006/relationships/hyperlink" Target="https://www.ncbi.nlm.nih.gov/books/NBK1119/" TargetMode="External"/><Relationship Id="rId38" Type="http://schemas.openxmlformats.org/officeDocument/2006/relationships/hyperlink" Target="https://health.costhelper.com/knee-replacement.html" TargetMode="External"/><Relationship Id="rId59" Type="http://schemas.openxmlformats.org/officeDocument/2006/relationships/hyperlink" Target="https://www.statista.com/statistics/189966/cost-of-a-heart-bypass-in-various-countries/" TargetMode="External"/><Relationship Id="rId103" Type="http://schemas.openxmlformats.org/officeDocument/2006/relationships/hyperlink" Target="https://ojrd.biomedcentral.com/articles/10.1186/s13023-015-0266-1" TargetMode="External"/><Relationship Id="rId124" Type="http://schemas.openxmlformats.org/officeDocument/2006/relationships/hyperlink" Target="https://www.ncbi.nlm.nih.gov/pmc/articles/PMC4066461/" TargetMode="External"/><Relationship Id="rId70" Type="http://schemas.openxmlformats.org/officeDocument/2006/relationships/hyperlink" Target="https://www.nei.nih.gov/learn-about-eye-health/eye-conditions-and-diseases/stargardt-disease" TargetMode="External"/><Relationship Id="rId91" Type="http://schemas.openxmlformats.org/officeDocument/2006/relationships/hyperlink" Target="https://medlineplus.gov/genetics/condition/multiple-system-atrophy/" TargetMode="External"/><Relationship Id="rId145" Type="http://schemas.openxmlformats.org/officeDocument/2006/relationships/hyperlink" Target="https://www.statpearls.com/kb/viewarticle/31375" TargetMode="External"/><Relationship Id="rId166" Type="http://schemas.openxmlformats.org/officeDocument/2006/relationships/hyperlink" Target="https://medlineplus.gov/genetics/condition/bietti-crystalline-dystrophy/" TargetMode="External"/><Relationship Id="rId187" Type="http://schemas.openxmlformats.org/officeDocument/2006/relationships/hyperlink" Target="https://medlineplus.gov/genetics/condition/tay-sachs-disease/" TargetMode="External"/><Relationship Id="rId1" Type="http://schemas.openxmlformats.org/officeDocument/2006/relationships/hyperlink" Target="https://www.sciencedirect.com/science/article/abs/pii/S1878875016313894?via%3Dihub" TargetMode="External"/><Relationship Id="rId212" Type="http://schemas.openxmlformats.org/officeDocument/2006/relationships/hyperlink" Target="https://www.ncbi.nlm.nih.gov/books/NBK1333/" TargetMode="External"/><Relationship Id="rId28" Type="http://schemas.openxmlformats.org/officeDocument/2006/relationships/hyperlink" Target="https://www.mayoclinic.org/medical-professionals/ophthalmology/news/incidence-and-probability-of-progression-to-blindness-due-to-open-angle-glaucoma-decreases-dramatically/mac-20430155" TargetMode="External"/><Relationship Id="rId49" Type="http://schemas.openxmlformats.org/officeDocument/2006/relationships/hyperlink" Target="https://www.jnj.com/health-and-wellness/5-things-we-now-know-about-pulmonary-arterial-hypertension" TargetMode="External"/><Relationship Id="rId114" Type="http://schemas.openxmlformats.org/officeDocument/2006/relationships/hyperlink" Target="https://www.healthline.com/health/peripheral-vascular-disease" TargetMode="External"/><Relationship Id="rId60" Type="http://schemas.openxmlformats.org/officeDocument/2006/relationships/hyperlink" Target="https://www.ahajournals.org/doi/abs/10.1161/circoutcomes.8.suppl_2.208" TargetMode="External"/><Relationship Id="rId81" Type="http://schemas.openxmlformats.org/officeDocument/2006/relationships/hyperlink" Target="https://www.drugs.com/price-guide/elaprase" TargetMode="External"/><Relationship Id="rId135" Type="http://schemas.openxmlformats.org/officeDocument/2006/relationships/hyperlink" Target="https://www.sciencedirect.com/science/article/abs/pii/S0146000515000257?via%3Dihub" TargetMode="External"/><Relationship Id="rId156" Type="http://schemas.openxmlformats.org/officeDocument/2006/relationships/hyperlink" Target="https://www.ncbi.nlm.nih.gov/pmc/articles/PMC6067408/" TargetMode="External"/><Relationship Id="rId177" Type="http://schemas.openxmlformats.org/officeDocument/2006/relationships/hyperlink" Target="https://medlineplus.gov/genetics/condition/type-2-diabetes/" TargetMode="External"/><Relationship Id="rId198" Type="http://schemas.openxmlformats.org/officeDocument/2006/relationships/hyperlink" Target="https://www.ncbi.nlm.nih.gov/pmc/articles/PMC4160670/" TargetMode="External"/><Relationship Id="rId202" Type="http://schemas.openxmlformats.org/officeDocument/2006/relationships/hyperlink" Target="https://josr-online.biomedcentral.com/articles/10.1186/s13018-020-01848-7/tables/3" TargetMode="External"/><Relationship Id="rId18" Type="http://schemas.openxmlformats.org/officeDocument/2006/relationships/hyperlink" Target="https://www.pharmaceutical-technology.com/features/most-expensive-drugs-us/" TargetMode="External"/><Relationship Id="rId39" Type="http://schemas.openxmlformats.org/officeDocument/2006/relationships/hyperlink" Target="https://www.texasheart.org/heart-health/heart-information-center/topics/inotropic-agents/" TargetMode="External"/><Relationship Id="rId50" Type="http://schemas.openxmlformats.org/officeDocument/2006/relationships/hyperlink" Target="https://en.wikipedia.org/wiki/Hyperphenylalaninemia" TargetMode="External"/><Relationship Id="rId104" Type="http://schemas.openxmlformats.org/officeDocument/2006/relationships/hyperlink" Target="https://medlineplus.gov/genetics/condition/osteopetrosis/" TargetMode="External"/><Relationship Id="rId125" Type="http://schemas.openxmlformats.org/officeDocument/2006/relationships/hyperlink" Target="https://www.ncbi.nlm.nih.gov/pmc/articles/PMC6351669/" TargetMode="External"/><Relationship Id="rId146" Type="http://schemas.openxmlformats.org/officeDocument/2006/relationships/hyperlink" Target="https://ojrd.biomedcentral.com/articles/10.1186/s13023-017-0587-3" TargetMode="External"/><Relationship Id="rId167" Type="http://schemas.openxmlformats.org/officeDocument/2006/relationships/hyperlink" Target="https://medlineplus.gov/genetics/condition/canavan-disease/" TargetMode="External"/><Relationship Id="rId188" Type="http://schemas.openxmlformats.org/officeDocument/2006/relationships/hyperlink" Target="https://medlineplus.gov/genetics/condition/primary-hyperoxaluria/" TargetMode="External"/><Relationship Id="rId71" Type="http://schemas.openxmlformats.org/officeDocument/2006/relationships/hyperlink" Target="https://rarediseases.org/rare-diseases/best-vitelliform-macular-dystrophy/" TargetMode="External"/><Relationship Id="rId92" Type="http://schemas.openxmlformats.org/officeDocument/2006/relationships/hyperlink" Target="https://www.thieme-connect.de/products/ejournals/abstract/10.1055/s-0034-1381737" TargetMode="External"/><Relationship Id="rId213" Type="http://schemas.openxmlformats.org/officeDocument/2006/relationships/hyperlink" Target="https://www.ncbi.nlm.nih.gov/books/NBK1281/" TargetMode="External"/><Relationship Id="rId2" Type="http://schemas.openxmlformats.org/officeDocument/2006/relationships/hyperlink" Target="https://combigene.com/en/the-market-for-epilepsy/" TargetMode="External"/><Relationship Id="rId29" Type="http://schemas.openxmlformats.org/officeDocument/2006/relationships/hyperlink" Target="https://www.ncbi.nlm.nih.gov/pmc/articles/PMC6604230/" TargetMode="External"/><Relationship Id="rId40" Type="http://schemas.openxmlformats.org/officeDocument/2006/relationships/hyperlink" Target="https://www.milliman.com/en/Insight/2017-US-organ-and-tissue-transplant-cost-estimates-and-discussion" TargetMode="External"/><Relationship Id="rId115" Type="http://schemas.openxmlformats.org/officeDocument/2006/relationships/hyperlink" Target="https://www.ahajournals.org/doi/full/10.1161/CIRCINTERVENTIONS.115.001946" TargetMode="External"/><Relationship Id="rId136" Type="http://schemas.openxmlformats.org/officeDocument/2006/relationships/hyperlink" Target="https://icer-review.org/wp-content/uploads/2019/08/ICER_SCD_MAP_112119.pdf" TargetMode="External"/><Relationship Id="rId157" Type="http://schemas.openxmlformats.org/officeDocument/2006/relationships/hyperlink" Target="https://medlineplus.gov/genetics/condition/aromatic-l-amino-acid-decarboxylase-deficiency/" TargetMode="External"/><Relationship Id="rId178" Type="http://schemas.openxmlformats.org/officeDocument/2006/relationships/hyperlink" Target="https://medlineplus.gov/genetics/condition/frontotemporal-dementia-with-parkinsonism-17/" TargetMode="External"/><Relationship Id="rId61" Type="http://schemas.openxmlformats.org/officeDocument/2006/relationships/hyperlink" Target="https://www.ncbi.nlm.nih.gov/pmc/articles/PMC2669322/" TargetMode="External"/><Relationship Id="rId82" Type="http://schemas.openxmlformats.org/officeDocument/2006/relationships/hyperlink" Target="https://pharmaoffer.com/blog/show/10-most-expensive-drugs-in-the-world" TargetMode="External"/><Relationship Id="rId199" Type="http://schemas.openxmlformats.org/officeDocument/2006/relationships/hyperlink" Target="https://www.ncbi.nlm.nih.gov/pmc/articles/PMC4325830/" TargetMode="External"/><Relationship Id="rId203" Type="http://schemas.openxmlformats.org/officeDocument/2006/relationships/hyperlink" Target="https://www.ncbi.nlm.nih.gov/pmc/articles/PMC6373584/" TargetMode="External"/><Relationship Id="rId19" Type="http://schemas.openxmlformats.org/officeDocument/2006/relationships/hyperlink" Target="https://www.fiercepharma.com/pharma/want-bang-for-your-buck-don-t-look-to-sarepta-s-pricey-dmd-therapy-exondys-icer-says" TargetMode="External"/><Relationship Id="rId30" Type="http://schemas.openxmlformats.org/officeDocument/2006/relationships/hyperlink" Target="http://www.visionproblemsus.org/glaucoma/glaucoma-map.html" TargetMode="External"/><Relationship Id="rId105" Type="http://schemas.openxmlformats.org/officeDocument/2006/relationships/hyperlink" Target="https://link.springer.com/article/10.1007%2Fs11934-017-0739-y" TargetMode="External"/><Relationship Id="rId126" Type="http://schemas.openxmlformats.org/officeDocument/2006/relationships/hyperlink" Target="https://medlineplus.gov/genetics/condition/adenosine-deaminase-deficiency/" TargetMode="External"/><Relationship Id="rId147" Type="http://schemas.openxmlformats.org/officeDocument/2006/relationships/hyperlink" Target="https://medlineplus.gov/genetics/condition/lysosomal-acid-lipase-deficiency/" TargetMode="External"/><Relationship Id="rId168" Type="http://schemas.openxmlformats.org/officeDocument/2006/relationships/hyperlink" Target="https://www.ncbi.nlm.nih.gov/pmc/articles/PMC668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162"/>
  <sheetViews>
    <sheetView showGridLines="0" tabSelected="1" zoomScale="125" zoomScaleNormal="125" zoomScalePageLayoutView="125" workbookViewId="0"/>
  </sheetViews>
  <sheetFormatPr defaultColWidth="8.85546875" defaultRowHeight="15"/>
  <sheetData>
    <row r="1" spans="1:1">
      <c r="A1" s="55" t="s">
        <v>455</v>
      </c>
    </row>
    <row r="2" spans="1:1" ht="27.75">
      <c r="A2" s="56" t="s">
        <v>331</v>
      </c>
    </row>
    <row r="3" spans="1:1">
      <c r="A3" s="57" t="s">
        <v>366</v>
      </c>
    </row>
    <row r="5" spans="1:1">
      <c r="A5" s="58" t="s">
        <v>332</v>
      </c>
    </row>
    <row r="6" spans="1:1">
      <c r="A6" s="57" t="s">
        <v>367</v>
      </c>
    </row>
    <row r="7" spans="1:1">
      <c r="A7" s="57" t="s">
        <v>368</v>
      </c>
    </row>
    <row r="8" spans="1:1">
      <c r="A8" s="57" t="s">
        <v>380</v>
      </c>
    </row>
    <row r="9" spans="1:1">
      <c r="A9" s="57" t="s">
        <v>381</v>
      </c>
    </row>
    <row r="10" spans="1:1">
      <c r="A10" s="57" t="s">
        <v>369</v>
      </c>
    </row>
    <row r="11" spans="1:1">
      <c r="A11" s="57"/>
    </row>
    <row r="12" spans="1:1">
      <c r="A12" s="58" t="s">
        <v>333</v>
      </c>
    </row>
    <row r="13" spans="1:1">
      <c r="A13" s="57" t="s">
        <v>370</v>
      </c>
    </row>
    <row r="14" spans="1:1">
      <c r="A14" s="57" t="s">
        <v>371</v>
      </c>
    </row>
    <row r="16" spans="1:1">
      <c r="A16" s="58" t="s">
        <v>334</v>
      </c>
    </row>
    <row r="17" spans="1:1">
      <c r="A17" s="59" t="s">
        <v>372</v>
      </c>
    </row>
    <row r="18" spans="1:1">
      <c r="A18" s="60"/>
    </row>
    <row r="19" spans="1:1">
      <c r="A19" s="59" t="s">
        <v>373</v>
      </c>
    </row>
    <row r="20" spans="1:1">
      <c r="A20" s="59" t="s">
        <v>374</v>
      </c>
    </row>
    <row r="21" spans="1:1">
      <c r="A21" s="59" t="s">
        <v>375</v>
      </c>
    </row>
    <row r="22" spans="1:1">
      <c r="A22" s="60"/>
    </row>
    <row r="23" spans="1:1">
      <c r="A23" s="59" t="s">
        <v>376</v>
      </c>
    </row>
    <row r="24" spans="1:1">
      <c r="A24" s="59" t="s">
        <v>377</v>
      </c>
    </row>
    <row r="25" spans="1:1">
      <c r="A25" s="60"/>
    </row>
    <row r="26" spans="1:1">
      <c r="A26" s="59" t="s">
        <v>335</v>
      </c>
    </row>
    <row r="27" spans="1:1">
      <c r="A27" s="60"/>
    </row>
    <row r="28" spans="1:1">
      <c r="A28" s="59" t="s">
        <v>382</v>
      </c>
    </row>
    <row r="29" spans="1:1">
      <c r="A29" s="59" t="s">
        <v>383</v>
      </c>
    </row>
    <row r="31" spans="1:1">
      <c r="A31" s="58" t="s">
        <v>336</v>
      </c>
    </row>
    <row r="32" spans="1:1">
      <c r="A32" s="59" t="s">
        <v>337</v>
      </c>
    </row>
    <row r="33" spans="1:1">
      <c r="A33" s="61" t="s">
        <v>378</v>
      </c>
    </row>
    <row r="34" spans="1:1">
      <c r="A34" s="61" t="s">
        <v>379</v>
      </c>
    </row>
    <row r="35" spans="1:1">
      <c r="A35" s="60"/>
    </row>
    <row r="36" spans="1:1">
      <c r="A36" s="61" t="s">
        <v>338</v>
      </c>
    </row>
    <row r="37" spans="1:1">
      <c r="A37" s="60"/>
    </row>
    <row r="38" spans="1:1">
      <c r="A38" s="61" t="s">
        <v>384</v>
      </c>
    </row>
    <row r="39" spans="1:1">
      <c r="A39" s="61" t="s">
        <v>385</v>
      </c>
    </row>
    <row r="40" spans="1:1">
      <c r="A40" s="60"/>
    </row>
    <row r="41" spans="1:1">
      <c r="A41" s="59" t="s">
        <v>339</v>
      </c>
    </row>
    <row r="42" spans="1:1">
      <c r="A42" s="61" t="s">
        <v>340</v>
      </c>
    </row>
    <row r="43" spans="1:1">
      <c r="A43" s="60"/>
    </row>
    <row r="44" spans="1:1">
      <c r="A44" s="61" t="s">
        <v>341</v>
      </c>
    </row>
    <row r="45" spans="1:1">
      <c r="A45" s="60"/>
    </row>
    <row r="46" spans="1:1">
      <c r="A46" s="61" t="s">
        <v>342</v>
      </c>
    </row>
    <row r="47" spans="1:1">
      <c r="A47" s="60"/>
    </row>
    <row r="48" spans="1:1">
      <c r="A48" s="61" t="s">
        <v>386</v>
      </c>
    </row>
    <row r="49" spans="1:1">
      <c r="A49" s="61" t="s">
        <v>387</v>
      </c>
    </row>
    <row r="50" spans="1:1">
      <c r="A50" s="60"/>
    </row>
    <row r="51" spans="1:1">
      <c r="A51" s="61" t="s">
        <v>343</v>
      </c>
    </row>
    <row r="52" spans="1:1">
      <c r="A52" s="60"/>
    </row>
    <row r="53" spans="1:1">
      <c r="A53" s="61" t="s">
        <v>344</v>
      </c>
    </row>
    <row r="54" spans="1:1">
      <c r="A54" s="60"/>
    </row>
    <row r="55" spans="1:1">
      <c r="A55" s="61" t="s">
        <v>345</v>
      </c>
    </row>
    <row r="57" spans="1:1">
      <c r="A57" s="58" t="s">
        <v>346</v>
      </c>
    </row>
    <row r="58" spans="1:1">
      <c r="A58" s="59" t="s">
        <v>388</v>
      </c>
    </row>
    <row r="59" spans="1:1">
      <c r="A59" s="59" t="s">
        <v>389</v>
      </c>
    </row>
    <row r="60" spans="1:1">
      <c r="A60" s="59" t="s">
        <v>390</v>
      </c>
    </row>
    <row r="61" spans="1:1">
      <c r="A61" s="60"/>
    </row>
    <row r="62" spans="1:1">
      <c r="A62" s="59" t="s">
        <v>391</v>
      </c>
    </row>
    <row r="63" spans="1:1">
      <c r="A63" s="59" t="s">
        <v>392</v>
      </c>
    </row>
    <row r="64" spans="1:1">
      <c r="A64" s="59" t="s">
        <v>393</v>
      </c>
    </row>
    <row r="65" spans="1:1">
      <c r="A65" s="59" t="s">
        <v>394</v>
      </c>
    </row>
    <row r="66" spans="1:1">
      <c r="A66" s="60" t="s">
        <v>440</v>
      </c>
    </row>
    <row r="67" spans="1:1">
      <c r="A67" s="60" t="s">
        <v>441</v>
      </c>
    </row>
    <row r="68" spans="1:1">
      <c r="A68" s="60" t="s">
        <v>442</v>
      </c>
    </row>
    <row r="69" spans="1:1">
      <c r="A69" s="60" t="s">
        <v>443</v>
      </c>
    </row>
    <row r="70" spans="1:1">
      <c r="A70" s="60"/>
    </row>
    <row r="71" spans="1:1">
      <c r="A71" s="59" t="s">
        <v>395</v>
      </c>
    </row>
    <row r="72" spans="1:1">
      <c r="A72" s="59" t="s">
        <v>396</v>
      </c>
    </row>
    <row r="73" spans="1:1">
      <c r="A73" s="59"/>
    </row>
    <row r="74" spans="1:1">
      <c r="A74" s="59" t="s">
        <v>347</v>
      </c>
    </row>
    <row r="75" spans="1:1">
      <c r="A75" s="61" t="s">
        <v>348</v>
      </c>
    </row>
    <row r="76" spans="1:1">
      <c r="A76" s="60"/>
    </row>
    <row r="77" spans="1:1">
      <c r="A77" s="61" t="s">
        <v>349</v>
      </c>
    </row>
    <row r="78" spans="1:1">
      <c r="A78" s="60"/>
    </row>
    <row r="79" spans="1:1">
      <c r="A79" s="61" t="s">
        <v>350</v>
      </c>
    </row>
    <row r="80" spans="1:1">
      <c r="A80" s="60"/>
    </row>
    <row r="81" spans="1:1">
      <c r="A81" s="61" t="s">
        <v>397</v>
      </c>
    </row>
    <row r="82" spans="1:1">
      <c r="A82" s="61" t="s">
        <v>398</v>
      </c>
    </row>
    <row r="84" spans="1:1">
      <c r="A84" s="58" t="s">
        <v>351</v>
      </c>
    </row>
    <row r="85" spans="1:1">
      <c r="A85" s="59" t="s">
        <v>399</v>
      </c>
    </row>
    <row r="86" spans="1:1">
      <c r="A86" s="59" t="s">
        <v>444</v>
      </c>
    </row>
    <row r="87" spans="1:1">
      <c r="A87" s="59" t="s">
        <v>445</v>
      </c>
    </row>
    <row r="88" spans="1:1">
      <c r="A88" s="59" t="s">
        <v>446</v>
      </c>
    </row>
    <row r="89" spans="1:1">
      <c r="A89" s="59" t="s">
        <v>447</v>
      </c>
    </row>
    <row r="90" spans="1:1">
      <c r="A90" s="59" t="s">
        <v>448</v>
      </c>
    </row>
    <row r="91" spans="1:1">
      <c r="A91" s="59" t="s">
        <v>449</v>
      </c>
    </row>
    <row r="92" spans="1:1">
      <c r="A92" s="59" t="s">
        <v>450</v>
      </c>
    </row>
    <row r="93" spans="1:1">
      <c r="A93" s="60"/>
    </row>
    <row r="94" spans="1:1">
      <c r="A94" s="59" t="s">
        <v>400</v>
      </c>
    </row>
    <row r="95" spans="1:1">
      <c r="A95" s="59" t="s">
        <v>401</v>
      </c>
    </row>
    <row r="96" spans="1:1">
      <c r="A96" s="59" t="s">
        <v>402</v>
      </c>
    </row>
    <row r="97" spans="1:1">
      <c r="A97" s="59" t="s">
        <v>403</v>
      </c>
    </row>
    <row r="98" spans="1:1">
      <c r="A98" s="59" t="s">
        <v>404</v>
      </c>
    </row>
    <row r="99" spans="1:1">
      <c r="A99" s="59"/>
    </row>
    <row r="100" spans="1:1">
      <c r="A100" s="59" t="s">
        <v>352</v>
      </c>
    </row>
    <row r="102" spans="1:1">
      <c r="A102" s="58" t="s">
        <v>353</v>
      </c>
    </row>
    <row r="103" spans="1:1">
      <c r="A103" s="59" t="s">
        <v>405</v>
      </c>
    </row>
    <row r="104" spans="1:1">
      <c r="A104" s="59" t="s">
        <v>406</v>
      </c>
    </row>
    <row r="105" spans="1:1">
      <c r="A105" s="59" t="s">
        <v>407</v>
      </c>
    </row>
    <row r="106" spans="1:1">
      <c r="A106" s="59" t="s">
        <v>408</v>
      </c>
    </row>
    <row r="107" spans="1:1">
      <c r="A107" s="59" t="s">
        <v>409</v>
      </c>
    </row>
    <row r="108" spans="1:1">
      <c r="A108" s="60"/>
    </row>
    <row r="109" spans="1:1">
      <c r="A109" s="59" t="s">
        <v>354</v>
      </c>
    </row>
    <row r="111" spans="1:1">
      <c r="A111" s="58" t="s">
        <v>355</v>
      </c>
    </row>
    <row r="112" spans="1:1">
      <c r="A112" s="57" t="s">
        <v>410</v>
      </c>
    </row>
    <row r="113" spans="1:1">
      <c r="A113" s="57" t="s">
        <v>411</v>
      </c>
    </row>
    <row r="114" spans="1:1">
      <c r="A114" s="57" t="s">
        <v>412</v>
      </c>
    </row>
    <row r="115" spans="1:1">
      <c r="A115" s="57" t="s">
        <v>413</v>
      </c>
    </row>
    <row r="117" spans="1:1">
      <c r="A117" s="58" t="s">
        <v>356</v>
      </c>
    </row>
    <row r="118" spans="1:1">
      <c r="A118" s="57" t="s">
        <v>414</v>
      </c>
    </row>
    <row r="119" spans="1:1">
      <c r="A119" s="57" t="s">
        <v>415</v>
      </c>
    </row>
    <row r="121" spans="1:1">
      <c r="A121" s="58" t="s">
        <v>357</v>
      </c>
    </row>
    <row r="122" spans="1:1">
      <c r="A122" s="57" t="s">
        <v>416</v>
      </c>
    </row>
    <row r="123" spans="1:1">
      <c r="A123" s="57" t="s">
        <v>417</v>
      </c>
    </row>
    <row r="125" spans="1:1">
      <c r="A125" s="58" t="s">
        <v>358</v>
      </c>
    </row>
    <row r="126" spans="1:1">
      <c r="A126" s="57" t="s">
        <v>418</v>
      </c>
    </row>
    <row r="127" spans="1:1">
      <c r="A127" s="57" t="s">
        <v>419</v>
      </c>
    </row>
    <row r="128" spans="1:1">
      <c r="A128" s="57" t="s">
        <v>420</v>
      </c>
    </row>
    <row r="130" spans="1:1">
      <c r="A130" s="58" t="s">
        <v>359</v>
      </c>
    </row>
    <row r="131" spans="1:1">
      <c r="A131" s="57" t="s">
        <v>421</v>
      </c>
    </row>
    <row r="132" spans="1:1">
      <c r="A132" s="57" t="s">
        <v>422</v>
      </c>
    </row>
    <row r="133" spans="1:1">
      <c r="A133" s="57" t="s">
        <v>423</v>
      </c>
    </row>
    <row r="135" spans="1:1">
      <c r="A135" s="58" t="s">
        <v>360</v>
      </c>
    </row>
    <row r="136" spans="1:1">
      <c r="A136" s="57" t="s">
        <v>424</v>
      </c>
    </row>
    <row r="137" spans="1:1">
      <c r="A137" s="57" t="s">
        <v>425</v>
      </c>
    </row>
    <row r="138" spans="1:1">
      <c r="A138" s="57" t="s">
        <v>426</v>
      </c>
    </row>
    <row r="140" spans="1:1">
      <c r="A140" s="58" t="s">
        <v>361</v>
      </c>
    </row>
    <row r="141" spans="1:1">
      <c r="A141" s="57" t="s">
        <v>427</v>
      </c>
    </row>
    <row r="142" spans="1:1">
      <c r="A142" s="57" t="s">
        <v>428</v>
      </c>
    </row>
    <row r="143" spans="1:1">
      <c r="A143" s="57" t="s">
        <v>429</v>
      </c>
    </row>
    <row r="145" spans="1:1">
      <c r="A145" s="58" t="s">
        <v>362</v>
      </c>
    </row>
    <row r="146" spans="1:1">
      <c r="A146" s="57" t="s">
        <v>430</v>
      </c>
    </row>
    <row r="147" spans="1:1">
      <c r="A147" s="57" t="s">
        <v>431</v>
      </c>
    </row>
    <row r="149" spans="1:1">
      <c r="A149" s="58" t="s">
        <v>363</v>
      </c>
    </row>
    <row r="150" spans="1:1">
      <c r="A150" s="57" t="s">
        <v>432</v>
      </c>
    </row>
    <row r="151" spans="1:1">
      <c r="A151" s="57" t="s">
        <v>433</v>
      </c>
    </row>
    <row r="152" spans="1:1">
      <c r="A152" s="57" t="s">
        <v>434</v>
      </c>
    </row>
    <row r="153" spans="1:1">
      <c r="A153" s="57" t="s">
        <v>435</v>
      </c>
    </row>
    <row r="155" spans="1:1">
      <c r="A155" s="58" t="s">
        <v>364</v>
      </c>
    </row>
    <row r="156" spans="1:1">
      <c r="A156" s="62" t="s">
        <v>436</v>
      </c>
    </row>
    <row r="157" spans="1:1">
      <c r="A157" s="62" t="s">
        <v>437</v>
      </c>
    </row>
    <row r="158" spans="1:1">
      <c r="A158" s="60"/>
    </row>
    <row r="159" spans="1:1">
      <c r="A159" s="62" t="s">
        <v>438</v>
      </c>
    </row>
    <row r="160" spans="1:1">
      <c r="A160" s="62" t="s">
        <v>439</v>
      </c>
    </row>
    <row r="162" spans="1:1">
      <c r="A162" s="57" t="s">
        <v>365</v>
      </c>
    </row>
  </sheetData>
  <sheetProtection algorithmName="SHA-512" hashValue="BmtMQ2OqCJSzW44f1Zz4JMFZ9qoZmE29sE0mQfwvmOifRSVOJmw6B0WbpYZaS30tNFcTFqwEd0u0fcmnohHbNg==" saltValue="gBO2pZP9tJJ3o7Lta+AFQQ==" spinCount="100000" sheet="1" selectLockedCells="1"/>
  <hyperlinks>
    <hyperlink ref="A156" r:id="rId1" display="mailto:newdigs@mit.edu" xr:uid="{00000000-0004-0000-0400-000000000000}"/>
    <hyperlink ref="A159" r:id="rId2" display="mailto:newdigs@mit.edu" xr:uid="{00000000-0004-0000-0400-000001000000}"/>
  </hyperlinks>
  <pageMargins left="0.7" right="0.7" top="0.75" bottom="0.75" header="0.3" footer="0.3"/>
  <pageSetup scale="56" fitToHeight="0" orientation="portrait"/>
  <headerFooter>
    <oddFooter>&amp;CSubject to Terms
MIT CENTER FOR BIOMEDICAL INNOVATION
NEWDIGS/FoCUS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36"/>
  <sheetViews>
    <sheetView showGridLines="0" topLeftCell="A12" zoomScaleNormal="100" zoomScalePageLayoutView="125" workbookViewId="0">
      <selection activeCell="A31" sqref="A31:I31"/>
    </sheetView>
  </sheetViews>
  <sheetFormatPr defaultColWidth="8.85546875" defaultRowHeight="15"/>
  <cols>
    <col min="3" max="3" width="10.42578125" customWidth="1"/>
    <col min="13" max="13" width="14.140625" customWidth="1"/>
  </cols>
  <sheetData>
    <row r="1" spans="1:2" ht="18.75">
      <c r="A1" s="14" t="s">
        <v>328</v>
      </c>
    </row>
    <row r="2" spans="1:2">
      <c r="A2" s="92" t="s">
        <v>1857</v>
      </c>
    </row>
    <row r="3" spans="1:2">
      <c r="A3" s="92" t="s">
        <v>1873</v>
      </c>
    </row>
    <row r="4" spans="1:2">
      <c r="A4" s="92" t="s">
        <v>1858</v>
      </c>
    </row>
    <row r="5" spans="1:2">
      <c r="B5" t="s">
        <v>1845</v>
      </c>
    </row>
    <row r="6" spans="1:2">
      <c r="B6" t="s">
        <v>1859</v>
      </c>
    </row>
    <row r="7" spans="1:2">
      <c r="B7" t="s">
        <v>1846</v>
      </c>
    </row>
    <row r="8" spans="1:2">
      <c r="B8" t="s">
        <v>1860</v>
      </c>
    </row>
    <row r="10" spans="1:2">
      <c r="A10" s="53" t="s">
        <v>329</v>
      </c>
    </row>
    <row r="11" spans="1:2">
      <c r="A11" s="1" t="s">
        <v>330</v>
      </c>
    </row>
    <row r="12" spans="1:2">
      <c r="A12" s="1"/>
    </row>
    <row r="13" spans="1:2" ht="15.75">
      <c r="A13" s="1" t="s">
        <v>919</v>
      </c>
      <c r="B13" s="54"/>
    </row>
    <row r="14" spans="1:2">
      <c r="A14" t="s">
        <v>462</v>
      </c>
    </row>
    <row r="15" spans="1:2">
      <c r="A15" s="7" t="s">
        <v>921</v>
      </c>
    </row>
    <row r="16" spans="1:2">
      <c r="A16" t="s">
        <v>920</v>
      </c>
    </row>
    <row r="18" spans="1:17" ht="18.75">
      <c r="A18" s="14" t="s">
        <v>1861</v>
      </c>
    </row>
    <row r="19" spans="1:17">
      <c r="A19" t="s">
        <v>1847</v>
      </c>
    </row>
    <row r="27" spans="1:17" ht="44.25" customHeight="1">
      <c r="A27" s="362" t="s">
        <v>1874</v>
      </c>
      <c r="B27" s="362"/>
      <c r="C27" s="362"/>
      <c r="D27" s="362"/>
      <c r="E27" s="362"/>
      <c r="F27" s="362"/>
      <c r="G27" s="362"/>
      <c r="H27" s="362"/>
      <c r="I27" s="362"/>
      <c r="J27" s="362"/>
      <c r="K27" s="362"/>
      <c r="L27" s="362"/>
      <c r="M27" s="362"/>
      <c r="N27" s="362"/>
      <c r="O27" s="362"/>
      <c r="P27" s="362"/>
      <c r="Q27" s="362"/>
    </row>
    <row r="28" spans="1:17" ht="14.25" customHeight="1">
      <c r="P28" s="66"/>
    </row>
    <row r="29" spans="1:17" ht="19.5" customHeight="1">
      <c r="A29" s="66"/>
      <c r="B29" s="66"/>
      <c r="C29" s="66"/>
      <c r="D29" s="66"/>
      <c r="E29" s="66"/>
      <c r="F29" s="66"/>
      <c r="G29" s="66"/>
      <c r="H29" s="66"/>
      <c r="I29" s="66"/>
      <c r="J29" s="370" t="s">
        <v>1868</v>
      </c>
      <c r="K29" s="370"/>
      <c r="L29" s="370"/>
      <c r="M29" s="370"/>
      <c r="N29" s="370"/>
      <c r="O29" s="370"/>
      <c r="P29" s="66"/>
    </row>
    <row r="30" spans="1:17" ht="15.75">
      <c r="A30" s="371" t="s">
        <v>1867</v>
      </c>
      <c r="B30" s="371"/>
      <c r="C30" s="371"/>
      <c r="D30" s="371"/>
      <c r="E30" s="371"/>
      <c r="F30" s="296"/>
      <c r="G30" s="296"/>
      <c r="H30" s="296"/>
      <c r="I30" s="296"/>
      <c r="J30" s="369" t="s">
        <v>1871</v>
      </c>
      <c r="K30" s="369"/>
      <c r="L30" s="369"/>
      <c r="M30" s="369"/>
      <c r="N30" s="369"/>
      <c r="O30" s="369"/>
    </row>
    <row r="31" spans="1:17" ht="75" customHeight="1">
      <c r="A31" s="363" t="s">
        <v>1863</v>
      </c>
      <c r="B31" s="364"/>
      <c r="C31" s="364"/>
      <c r="D31" s="364"/>
      <c r="E31" s="364"/>
      <c r="F31" s="364"/>
      <c r="G31" s="364"/>
      <c r="H31" s="364"/>
      <c r="I31" s="365"/>
      <c r="J31" s="368" t="s">
        <v>1869</v>
      </c>
      <c r="K31" s="368"/>
      <c r="L31" s="368"/>
      <c r="M31" s="368"/>
      <c r="N31" s="368"/>
      <c r="O31" s="368"/>
    </row>
    <row r="32" spans="1:17" ht="76.5" customHeight="1">
      <c r="A32" s="363" t="s">
        <v>1864</v>
      </c>
      <c r="B32" s="364"/>
      <c r="C32" s="364"/>
      <c r="D32" s="364"/>
      <c r="E32" s="364"/>
      <c r="F32" s="364"/>
      <c r="G32" s="364"/>
      <c r="H32" s="364"/>
      <c r="I32" s="365"/>
      <c r="J32" s="368" t="s">
        <v>1876</v>
      </c>
      <c r="K32" s="368"/>
      <c r="L32" s="368"/>
      <c r="M32" s="368"/>
      <c r="N32" s="368"/>
      <c r="O32" s="368"/>
    </row>
    <row r="33" spans="1:16" ht="92.25" customHeight="1">
      <c r="A33" s="363" t="s">
        <v>1865</v>
      </c>
      <c r="B33" s="364"/>
      <c r="C33" s="364"/>
      <c r="D33" s="364"/>
      <c r="E33" s="364"/>
      <c r="F33" s="364"/>
      <c r="G33" s="364"/>
      <c r="H33" s="364"/>
      <c r="I33" s="365"/>
      <c r="J33" s="367" t="s">
        <v>1870</v>
      </c>
      <c r="K33" s="367"/>
      <c r="L33" s="367"/>
      <c r="M33" s="367"/>
      <c r="N33" s="367"/>
      <c r="O33" s="367"/>
    </row>
    <row r="34" spans="1:16" ht="93" customHeight="1">
      <c r="A34" s="363" t="s">
        <v>1866</v>
      </c>
      <c r="B34" s="364"/>
      <c r="C34" s="364"/>
      <c r="D34" s="364"/>
      <c r="E34" s="364"/>
      <c r="F34" s="364"/>
      <c r="G34" s="364"/>
      <c r="H34" s="364"/>
      <c r="I34" s="365"/>
      <c r="J34" s="366" t="s">
        <v>1872</v>
      </c>
      <c r="K34" s="366"/>
      <c r="L34" s="366"/>
      <c r="M34" s="366"/>
      <c r="N34" s="366"/>
      <c r="O34" s="366"/>
    </row>
    <row r="35" spans="1:16">
      <c r="L35" s="7"/>
    </row>
    <row r="36" spans="1:16" ht="36" customHeight="1">
      <c r="A36" s="361" t="s">
        <v>1875</v>
      </c>
      <c r="B36" s="361"/>
      <c r="C36" s="361"/>
      <c r="D36" s="361"/>
      <c r="E36" s="361"/>
      <c r="F36" s="361"/>
      <c r="G36" s="361"/>
      <c r="H36" s="361"/>
      <c r="I36" s="361"/>
      <c r="J36" s="361"/>
      <c r="K36" s="361"/>
      <c r="L36" s="361"/>
      <c r="M36" s="361"/>
      <c r="N36" s="361"/>
      <c r="O36" s="361"/>
      <c r="P36" s="361"/>
    </row>
  </sheetData>
  <sheetProtection algorithmName="SHA-512" hashValue="cYU0b5OEmymtf0mmiHJM0Kgx75cjnN4ubVi3sS28jwb6m2M15qU+Bb7MIU2vIIpwqPC2yp5wNF2gWmIQUjSwxQ==" saltValue="ZsIb0U/9GEsJxKNS6V8rKQ==" spinCount="100000" sheet="1" selectLockedCells="1"/>
  <mergeCells count="13">
    <mergeCell ref="A36:P36"/>
    <mergeCell ref="A27:Q27"/>
    <mergeCell ref="A31:I31"/>
    <mergeCell ref="A32:I32"/>
    <mergeCell ref="A33:I33"/>
    <mergeCell ref="A34:I34"/>
    <mergeCell ref="J34:O34"/>
    <mergeCell ref="J33:O33"/>
    <mergeCell ref="J32:O32"/>
    <mergeCell ref="J31:O31"/>
    <mergeCell ref="J30:O30"/>
    <mergeCell ref="J29:O29"/>
    <mergeCell ref="A30:E30"/>
  </mergeCells>
  <pageMargins left="0.7" right="0.7" top="0.75" bottom="0.75" header="0.3" footer="0.3"/>
  <pageSetup scale="67" fitToHeight="0" orientation="portrait" r:id="rId1"/>
  <headerFooter>
    <oddFooter>&amp;CSubject to Terms of Use
MIT CENTER FOR BIOMEDICAL INNOVATION
NEWDIGS/FoCUS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M50"/>
  <sheetViews>
    <sheetView showGridLines="0" zoomScaleNormal="100" workbookViewId="0">
      <selection activeCell="B19" sqref="B19"/>
    </sheetView>
  </sheetViews>
  <sheetFormatPr defaultColWidth="9.140625" defaultRowHeight="15"/>
  <cols>
    <col min="1" max="1" width="35.85546875" customWidth="1"/>
    <col min="2" max="2" width="33.85546875" customWidth="1"/>
    <col min="3" max="3" width="32" customWidth="1"/>
    <col min="4" max="5" width="18.42578125" customWidth="1"/>
    <col min="6" max="6" width="24.42578125" customWidth="1"/>
    <col min="7" max="7" width="16" customWidth="1"/>
    <col min="8" max="8" width="16.42578125" customWidth="1"/>
    <col min="9" max="9" width="25.42578125" customWidth="1"/>
    <col min="10" max="13" width="14.140625" customWidth="1"/>
    <col min="14" max="14" width="4.85546875" customWidth="1"/>
    <col min="15" max="16" width="14.140625" customWidth="1"/>
  </cols>
  <sheetData>
    <row r="1" spans="1:13" ht="23.25">
      <c r="A1" s="175"/>
      <c r="B1" s="377" t="s">
        <v>115</v>
      </c>
      <c r="C1" s="374"/>
    </row>
    <row r="2" spans="1:13" ht="18.75">
      <c r="A2" s="14"/>
    </row>
    <row r="3" spans="1:13">
      <c r="A3" s="92" t="s">
        <v>1894</v>
      </c>
    </row>
    <row r="4" spans="1:13">
      <c r="A4" s="92" t="s">
        <v>305</v>
      </c>
    </row>
    <row r="5" spans="1:13">
      <c r="A5" s="92"/>
    </row>
    <row r="6" spans="1:13">
      <c r="A6" s="380" t="s">
        <v>1918</v>
      </c>
      <c r="B6" s="376"/>
      <c r="C6" s="376"/>
      <c r="D6" s="376"/>
      <c r="E6" s="376"/>
      <c r="F6" s="376"/>
    </row>
    <row r="7" spans="1:13">
      <c r="A7" s="376"/>
      <c r="B7" s="376"/>
      <c r="C7" s="376"/>
      <c r="D7" s="376"/>
      <c r="E7" s="376"/>
      <c r="F7" s="376"/>
    </row>
    <row r="8" spans="1:13">
      <c r="A8" s="376"/>
      <c r="B8" s="376"/>
      <c r="C8" s="376"/>
      <c r="D8" s="376"/>
      <c r="E8" s="376"/>
      <c r="F8" s="376"/>
    </row>
    <row r="10" spans="1:13">
      <c r="A10" s="92" t="s">
        <v>1917</v>
      </c>
      <c r="B10" s="92"/>
      <c r="C10" s="92"/>
      <c r="D10" s="92"/>
      <c r="E10" s="92"/>
      <c r="F10" s="92"/>
      <c r="G10" s="92"/>
      <c r="H10" s="92"/>
      <c r="I10" s="92"/>
      <c r="J10" s="92"/>
      <c r="K10" s="92"/>
      <c r="L10" s="67"/>
      <c r="M10" s="67"/>
    </row>
    <row r="11" spans="1:13">
      <c r="A11" s="471" t="s">
        <v>1926</v>
      </c>
    </row>
    <row r="12" spans="1:13" ht="18" customHeight="1">
      <c r="A12" s="183"/>
      <c r="B12" s="381" t="s">
        <v>999</v>
      </c>
      <c r="C12" s="374"/>
      <c r="D12" s="183"/>
      <c r="E12" s="183"/>
      <c r="F12" s="183"/>
      <c r="G12" s="183"/>
      <c r="H12" s="67"/>
      <c r="I12" s="67"/>
      <c r="J12" s="67"/>
      <c r="K12" s="67"/>
    </row>
    <row r="14" spans="1:13" ht="14.25" customHeight="1">
      <c r="A14" s="112" t="s">
        <v>913</v>
      </c>
      <c r="L14" s="176"/>
    </row>
    <row r="15" spans="1:13">
      <c r="A15" s="378" t="s">
        <v>461</v>
      </c>
      <c r="B15" s="379"/>
      <c r="C15" s="379"/>
      <c r="D15" s="379"/>
    </row>
    <row r="16" spans="1:13">
      <c r="B16" s="156"/>
    </row>
    <row r="17" spans="1:9">
      <c r="A17" s="92"/>
    </row>
    <row r="18" spans="1:9" ht="45">
      <c r="A18" s="1" t="s">
        <v>64</v>
      </c>
      <c r="B18" s="120" t="s">
        <v>316</v>
      </c>
      <c r="C18" s="382" t="s">
        <v>297</v>
      </c>
      <c r="D18" s="374"/>
      <c r="E18" s="3" t="s">
        <v>317</v>
      </c>
      <c r="F18" s="177" t="s">
        <v>1000</v>
      </c>
      <c r="G18" s="177" t="s">
        <v>116</v>
      </c>
    </row>
    <row r="19" spans="1:9">
      <c r="A19" t="s">
        <v>304</v>
      </c>
      <c r="B19" s="86" t="s">
        <v>47</v>
      </c>
      <c r="C19" s="383" t="s">
        <v>279</v>
      </c>
      <c r="D19" s="384"/>
      <c r="E19" s="86" t="s">
        <v>504</v>
      </c>
      <c r="F19" s="178">
        <f ca="1">IF($E$19="All",INDEX('Disease - Therapeutic Class'!E:E,MATCH($C$19,'Disease - Therapeutic Class'!$B:$B,0),1),INDIRECT('PET Menu Driver'!$D$6&amp;"G"&amp;'PET Menu Driver'!$D$13))</f>
        <v>4457.8524404180398</v>
      </c>
      <c r="G19" s="179">
        <f ca="1">IF($E$19="All",INDEX('Disease - Therapeutic Class'!F:F,MATCH($C$19,'Disease - Therapeutic Class'!$B:$B,0),1),INDIRECT('PET Menu Driver'!$D$6&amp;"H"&amp;'PET Menu Driver'!$D$13))</f>
        <v>0</v>
      </c>
      <c r="I19" s="3"/>
    </row>
    <row r="20" spans="1:9" ht="14.25" customHeight="1">
      <c r="C20" s="149" t="str">
        <f ca="1">IF(ISERROR(MATCH(C19,INDIRECT('PET Menu Driver'!K11),0)),"Please Update Disease Menu","")</f>
        <v/>
      </c>
      <c r="D20" s="149"/>
      <c r="E20" s="149" t="str">
        <f ca="1">IF(ISERROR(MATCH(E19,'PET Menu Driver'!B4:B100,0)),"Please Update Subpopulation","")</f>
        <v/>
      </c>
      <c r="F20" s="63"/>
      <c r="G20" s="63"/>
    </row>
    <row r="21" spans="1:9" ht="14.25" customHeight="1">
      <c r="A21" s="180" t="s">
        <v>916</v>
      </c>
      <c r="B21" t="s">
        <v>917</v>
      </c>
      <c r="C21" s="149"/>
      <c r="D21" s="149"/>
      <c r="E21" s="149"/>
      <c r="F21" s="63"/>
      <c r="G21" s="63"/>
    </row>
    <row r="22" spans="1:9">
      <c r="B22" t="s">
        <v>918</v>
      </c>
      <c r="F22" s="63"/>
      <c r="G22" s="63"/>
    </row>
    <row r="23" spans="1:9">
      <c r="B23" s="327" t="s">
        <v>1916</v>
      </c>
      <c r="C23" s="164"/>
      <c r="D23" s="164"/>
      <c r="E23" s="164"/>
      <c r="F23" s="164"/>
      <c r="G23" s="164"/>
    </row>
    <row r="24" spans="1:9">
      <c r="B24" s="164"/>
      <c r="C24" s="164"/>
      <c r="D24" s="164"/>
      <c r="E24" s="164"/>
      <c r="F24" s="164"/>
      <c r="G24" s="164"/>
    </row>
    <row r="25" spans="1:9" ht="47.25" customHeight="1">
      <c r="B25" s="164"/>
      <c r="C25" s="164"/>
      <c r="D25" s="164"/>
      <c r="E25" s="164"/>
      <c r="F25" s="177" t="s">
        <v>1001</v>
      </c>
      <c r="G25" s="177" t="s">
        <v>1002</v>
      </c>
    </row>
    <row r="26" spans="1:9">
      <c r="B26" s="164"/>
      <c r="C26" s="99" t="s">
        <v>922</v>
      </c>
      <c r="D26" s="181">
        <v>331500000</v>
      </c>
      <c r="F26" s="182">
        <f ca="1">100000*F19/$D$26</f>
        <v>1.3447518673960903</v>
      </c>
      <c r="G26" s="182">
        <f ca="1">100000*G19/$D$26</f>
        <v>0</v>
      </c>
    </row>
    <row r="27" spans="1:9" ht="14.25" customHeight="1">
      <c r="B27" s="164"/>
      <c r="C27" s="164"/>
      <c r="D27" s="164"/>
      <c r="E27" s="164"/>
      <c r="F27" s="164"/>
      <c r="G27" s="164"/>
    </row>
    <row r="28" spans="1:9" ht="14.25" customHeight="1">
      <c r="B28" s="164"/>
      <c r="C28" s="164"/>
      <c r="D28" s="164"/>
      <c r="E28" s="164"/>
      <c r="F28" s="164"/>
      <c r="G28" s="164"/>
    </row>
    <row r="29" spans="1:9" ht="18" customHeight="1">
      <c r="A29" s="183"/>
      <c r="B29" s="373" t="s">
        <v>934</v>
      </c>
      <c r="C29" s="374"/>
      <c r="D29" s="183"/>
      <c r="E29" s="183"/>
      <c r="F29" s="183"/>
      <c r="G29" s="183"/>
    </row>
    <row r="30" spans="1:9" ht="14.25" customHeight="1"/>
    <row r="31" spans="1:9" ht="14.25" customHeight="1">
      <c r="A31" s="112" t="s">
        <v>998</v>
      </c>
    </row>
    <row r="32" spans="1:9" ht="14.25" customHeight="1">
      <c r="B32" s="184"/>
      <c r="C32" s="184"/>
      <c r="D32" s="184"/>
      <c r="E32" s="2"/>
      <c r="F32" s="184"/>
    </row>
    <row r="33" spans="1:11" ht="14.25" customHeight="1">
      <c r="A33" s="92" t="s">
        <v>933</v>
      </c>
    </row>
    <row r="34" spans="1:11" ht="14.25" customHeight="1">
      <c r="A34" s="92" t="s">
        <v>927</v>
      </c>
    </row>
    <row r="35" spans="1:11" ht="14.25" customHeight="1">
      <c r="F35" s="372" t="str">
        <f>CONCATENATE(""""&amp;$B$37&amp;""" Incidence Estimate")</f>
        <v>"Not Medicare or Medicaid" Incidence Estimate</v>
      </c>
      <c r="G35" s="372" t="str">
        <f>CONCATENATE(""""&amp;$B$37&amp;""" Prevalence Estimate")</f>
        <v>"Not Medicare or Medicaid" Prevalence Estimate</v>
      </c>
    </row>
    <row r="36" spans="1:11" ht="45" customHeight="1">
      <c r="A36" s="92"/>
      <c r="B36" s="185" t="s">
        <v>1004</v>
      </c>
      <c r="F36" s="372"/>
      <c r="G36" s="372"/>
    </row>
    <row r="37" spans="1:11" ht="14.25" customHeight="1">
      <c r="A37" s="186" t="s">
        <v>986</v>
      </c>
      <c r="B37" s="85" t="s">
        <v>987</v>
      </c>
      <c r="F37" s="178">
        <f ca="1">F19*INDEX('Disease - Therapeutic Class'!$K:$R,MATCH($C$19,'Disease - Therapeutic Class'!$B:$B,0),'Hidden Drop Down Lists'!B$31)</f>
        <v>1022.2318015017272</v>
      </c>
      <c r="G37" s="178">
        <f ca="1">G19*INDEX('Disease - Therapeutic Class'!$K:$R,MATCH($C$19,'Disease - Therapeutic Class'!$B:$B,0),'Hidden Drop Down Lists'!C$31)</f>
        <v>0</v>
      </c>
    </row>
    <row r="38" spans="1:11" ht="14.25" customHeight="1">
      <c r="A38" s="99"/>
      <c r="B38" s="187"/>
    </row>
    <row r="39" spans="1:11">
      <c r="B39" s="188" t="str">
        <f ca="1">IF(AND($F$41=0,$G$41=0),CONCATENATE("No treatment eligible  """&amp;C19&amp;""" patients for this payer type"),"")</f>
        <v/>
      </c>
    </row>
    <row r="40" spans="1:11" ht="62.25" customHeight="1">
      <c r="A40" s="99"/>
      <c r="B40" s="99"/>
      <c r="C40" s="189"/>
      <c r="D40" s="100"/>
      <c r="E40" s="100"/>
      <c r="F40" s="177" t="str">
        <f>CONCATENATE(""""&amp;$B$37&amp;""" Incidence per 100,000")</f>
        <v>"Not Medicare or Medicaid" Incidence per 100,000</v>
      </c>
      <c r="G40" s="177" t="str">
        <f>CONCATENATE(""""&amp;$B$37&amp;""" Prevalence per 100,000")</f>
        <v>"Not Medicare or Medicaid" Prevalence per 100,000</v>
      </c>
    </row>
    <row r="41" spans="1:11">
      <c r="A41" s="100"/>
      <c r="B41" s="99"/>
      <c r="C41" s="99" t="str">
        <f>CONCATENATE("Estimated population for """&amp;$B$37&amp;"""")</f>
        <v>Estimated population for "Not Medicare or Medicaid"</v>
      </c>
      <c r="D41" s="190">
        <f>'Hidden Drop Down Lists'!$C$38</f>
        <v>198075000</v>
      </c>
      <c r="F41" s="191">
        <f ca="1">100000*F$37/$D$41</f>
        <v>0.51608320156593579</v>
      </c>
      <c r="G41" s="191">
        <f ca="1">100000*G$37/$D$41</f>
        <v>0</v>
      </c>
    </row>
    <row r="42" spans="1:11" ht="75.95" hidden="1" customHeight="1">
      <c r="A42" s="99"/>
      <c r="B42" s="187"/>
      <c r="D42" s="99"/>
      <c r="E42" s="99"/>
      <c r="F42" s="189"/>
    </row>
    <row r="44" spans="1:11" ht="18" customHeight="1">
      <c r="A44" s="328"/>
      <c r="B44" s="375" t="s">
        <v>923</v>
      </c>
      <c r="C44" s="376"/>
      <c r="D44" s="328"/>
      <c r="E44" s="328"/>
      <c r="F44" s="328"/>
      <c r="G44" s="328"/>
      <c r="J44" s="67"/>
      <c r="K44" s="67"/>
    </row>
    <row r="45" spans="1:11" ht="14.25" customHeight="1"/>
    <row r="46" spans="1:11" ht="33.75" customHeight="1">
      <c r="A46" s="308" t="str">
        <f>CONCATENATE("Step 3: Ratio the  """&amp;$B$37&amp;""" population to your plan")</f>
        <v>Step 3: Ratio the  "Not Medicare or Medicaid" population to your plan</v>
      </c>
      <c r="F46" s="177" t="s">
        <v>925</v>
      </c>
      <c r="G46" s="177" t="s">
        <v>926</v>
      </c>
    </row>
    <row r="47" spans="1:11" ht="14.25" customHeight="1">
      <c r="A47" s="99" t="s">
        <v>308</v>
      </c>
      <c r="B47" s="51">
        <v>130000</v>
      </c>
      <c r="F47" s="192">
        <f ca="1">F$41*$B$47/100000</f>
        <v>0.67090816203571657</v>
      </c>
      <c r="G47" s="192">
        <f ca="1">G$41*$B$47/100000</f>
        <v>0</v>
      </c>
    </row>
    <row r="48" spans="1:11" ht="14.25" customHeight="1">
      <c r="A48" s="193" t="s">
        <v>1036</v>
      </c>
    </row>
    <row r="49" spans="1:6" ht="71.25" customHeight="1">
      <c r="A49" s="193"/>
      <c r="C49" s="194"/>
      <c r="D49" s="194"/>
    </row>
    <row r="50" spans="1:6">
      <c r="E50" s="184"/>
      <c r="F50" s="2"/>
    </row>
  </sheetData>
  <sheetProtection sheet="1" selectLockedCells="1"/>
  <mergeCells count="10">
    <mergeCell ref="G35:G36"/>
    <mergeCell ref="B29:C29"/>
    <mergeCell ref="B44:C44"/>
    <mergeCell ref="B1:C1"/>
    <mergeCell ref="A15:D15"/>
    <mergeCell ref="A6:F8"/>
    <mergeCell ref="B12:C12"/>
    <mergeCell ref="C18:D18"/>
    <mergeCell ref="C19:D19"/>
    <mergeCell ref="F35:F36"/>
  </mergeCells>
  <phoneticPr fontId="31" type="noConversion"/>
  <hyperlinks>
    <hyperlink ref="A11" r:id="rId1" xr:uid="{1BECB019-4F0E-4CC5-8AF2-2D83BDB24639}"/>
  </hyperlinks>
  <pageMargins left="0.7" right="0.7" top="0.75" bottom="0.75" header="0.3" footer="0.3"/>
  <pageSetup scale="57" fitToHeight="0" orientation="landscape" horizontalDpi="1200" verticalDpi="1200" r:id="rId2"/>
  <headerFooter>
    <oddFooter>&amp;CSubject to Terms of Use
MIT CENTER FOR BIOMEDICAL INNOVATION
NEWDIGS/FoCUS</oddFooter>
  </headerFooter>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2000000}">
          <x14:formula1>
            <xm:f>INDIRECT('PET Menu Driver'!$K$11)</xm:f>
          </x14:formula1>
          <xm:sqref>C19:D19</xm:sqref>
        </x14:dataValidation>
        <x14:dataValidation type="list" allowBlank="1" showInputMessage="1" showErrorMessage="1" xr:uid="{00000000-0002-0000-0600-000004000000}">
          <x14:formula1>
            <xm:f>'Hidden Drop Down Lists'!$A$27:$A$30</xm:f>
          </x14:formula1>
          <xm:sqref>B37</xm:sqref>
        </x14:dataValidation>
        <x14:dataValidation type="list" allowBlank="1" showInputMessage="1" showErrorMessage="1" xr:uid="{00000000-0002-0000-0600-000000000000}">
          <x14:formula1>
            <xm:f>'Therapeutic Classes - Diseases'!$B$4:$B$13</xm:f>
          </x14:formula1>
          <xm:sqref>B19</xm:sqref>
        </x14:dataValidation>
        <x14:dataValidation type="list" allowBlank="1" showInputMessage="1" showErrorMessage="1" xr:uid="{00000000-0002-0000-0600-000001000000}">
          <x14:formula1>
            <xm:f>INDIRECT('PET Menu Driver'!$K$15)</xm:f>
          </x14:formula1>
          <xm:sqref>E19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601E-3F7B-4C42-8432-BA34D4412B1F}">
  <sheetPr codeName="Sheet15">
    <tabColor rgb="FF92D050"/>
  </sheetPr>
  <dimension ref="A1:M97"/>
  <sheetViews>
    <sheetView showGridLines="0" zoomScaleNormal="100" workbookViewId="0">
      <selection activeCell="A16" sqref="A16"/>
    </sheetView>
  </sheetViews>
  <sheetFormatPr defaultColWidth="9.140625" defaultRowHeight="15"/>
  <cols>
    <col min="1" max="1" width="39.42578125" customWidth="1"/>
    <col min="2" max="2" width="29.85546875" customWidth="1"/>
    <col min="3" max="3" width="26.42578125" customWidth="1"/>
    <col min="4" max="4" width="18.42578125" customWidth="1"/>
    <col min="5" max="5" width="22.85546875" customWidth="1"/>
    <col min="6" max="6" width="24" customWidth="1"/>
    <col min="7" max="7" width="22.5703125" customWidth="1"/>
    <col min="8" max="8" width="17.42578125" customWidth="1"/>
    <col min="9" max="9" width="25.42578125" customWidth="1"/>
    <col min="10" max="13" width="14.140625" customWidth="1"/>
    <col min="14" max="14" width="4.85546875" customWidth="1"/>
    <col min="15" max="16" width="14.140625" customWidth="1"/>
  </cols>
  <sheetData>
    <row r="1" spans="1:13" ht="23.25">
      <c r="A1" s="343"/>
      <c r="B1" s="377" t="s">
        <v>1844</v>
      </c>
      <c r="C1" s="374"/>
    </row>
    <row r="2" spans="1:13" ht="15" customHeight="1">
      <c r="A2" s="175"/>
    </row>
    <row r="3" spans="1:13">
      <c r="A3" s="92" t="s">
        <v>1894</v>
      </c>
    </row>
    <row r="4" spans="1:13">
      <c r="A4" s="92" t="s">
        <v>305</v>
      </c>
    </row>
    <row r="5" spans="1:13">
      <c r="A5" s="92"/>
    </row>
    <row r="6" spans="1:13">
      <c r="A6" t="s">
        <v>1849</v>
      </c>
    </row>
    <row r="7" spans="1:13">
      <c r="A7" t="s">
        <v>1848</v>
      </c>
    </row>
    <row r="9" spans="1:13">
      <c r="A9" s="92" t="s">
        <v>1915</v>
      </c>
      <c r="B9" s="92"/>
      <c r="C9" s="92"/>
      <c r="D9" s="92"/>
      <c r="E9" s="92"/>
      <c r="F9" s="92"/>
      <c r="G9" s="92"/>
      <c r="H9" s="92"/>
      <c r="I9" s="92"/>
      <c r="J9" s="92"/>
      <c r="K9" s="92"/>
      <c r="L9" s="67"/>
      <c r="M9" s="67"/>
    </row>
    <row r="10" spans="1:13">
      <c r="A10" s="471" t="s">
        <v>1927</v>
      </c>
    </row>
    <row r="11" spans="1:13" ht="18" customHeight="1">
      <c r="A11" s="325"/>
      <c r="B11" s="385" t="s">
        <v>1850</v>
      </c>
      <c r="C11" s="386"/>
      <c r="D11" s="325"/>
      <c r="E11" s="325"/>
      <c r="F11" s="325"/>
      <c r="G11" s="325"/>
      <c r="H11" s="325"/>
    </row>
    <row r="12" spans="1:13" ht="33" customHeight="1">
      <c r="A12" s="318" t="s">
        <v>1895</v>
      </c>
      <c r="C12" s="194"/>
      <c r="D12" s="194"/>
      <c r="F12" s="372" t="s">
        <v>1000</v>
      </c>
      <c r="G12" s="372" t="s">
        <v>116</v>
      </c>
    </row>
    <row r="13" spans="1:13" ht="18" customHeight="1">
      <c r="B13" s="120" t="s">
        <v>1855</v>
      </c>
      <c r="C13" s="382" t="s">
        <v>297</v>
      </c>
      <c r="D13" s="374"/>
      <c r="E13" s="3" t="s">
        <v>317</v>
      </c>
      <c r="F13" s="372"/>
      <c r="G13" s="372"/>
    </row>
    <row r="14" spans="1:13" ht="18" customHeight="1">
      <c r="A14" s="99" t="s">
        <v>1877</v>
      </c>
      <c r="B14" s="10" t="str">
        <f>'Population Estimator Tool'!B19</f>
        <v>Cancer, solid tumor</v>
      </c>
      <c r="C14" s="407" t="str">
        <f>'Population Estimator Tool'!C19</f>
        <v>Cancer, lung, non-small cell</v>
      </c>
      <c r="D14" s="407"/>
      <c r="E14" s="291" t="str">
        <f>'Population Estimator Tool'!E19</f>
        <v>PSMA</v>
      </c>
      <c r="F14" s="64">
        <f ca="1">'Population Estimator Tool'!F19</f>
        <v>4457.8524404180398</v>
      </c>
      <c r="G14" s="64">
        <f ca="1">'Population Estimator Tool'!G19</f>
        <v>0</v>
      </c>
    </row>
    <row r="15" spans="1:13" ht="31.5" customHeight="1">
      <c r="A15" s="99"/>
      <c r="C15" s="7"/>
      <c r="D15" s="7"/>
      <c r="F15" s="289" t="str">
        <f>CONCATENATE("Incidence - 
"&amp;$E$16)</f>
        <v>Incidence - 
Not Medicare or Medicaid</v>
      </c>
      <c r="G15" s="289" t="str">
        <f>CONCATENATE("Prevalence - 
"&amp;$E$16)</f>
        <v>Prevalence - 
Not Medicare or Medicaid</v>
      </c>
    </row>
    <row r="16" spans="1:13" ht="15" customHeight="1">
      <c r="C16" s="194"/>
      <c r="D16" s="99" t="s">
        <v>1878</v>
      </c>
      <c r="E16" t="str">
        <f>+'Population Estimator Tool'!B37</f>
        <v>Not Medicare or Medicaid</v>
      </c>
      <c r="F16" s="64">
        <f ca="1">'Population Estimator Tool'!F37</f>
        <v>1022.2318015017272</v>
      </c>
      <c r="G16" s="64">
        <f ca="1">'Population Estimator Tool'!G37</f>
        <v>0</v>
      </c>
    </row>
    <row r="17" spans="1:9" ht="15" customHeight="1">
      <c r="A17" s="290"/>
      <c r="C17" s="194"/>
      <c r="D17" s="408" t="s">
        <v>1880</v>
      </c>
      <c r="E17" s="408"/>
      <c r="F17" s="298">
        <f ca="1">'Population Estimator Tool'!F41</f>
        <v>0.51608320156593579</v>
      </c>
      <c r="G17" s="298">
        <f ca="1">'Population Estimator Tool'!G41</f>
        <v>0</v>
      </c>
    </row>
    <row r="18" spans="1:9" ht="15" customHeight="1">
      <c r="A18" s="99" t="s">
        <v>1879</v>
      </c>
      <c r="B18" s="299">
        <f>'Population Estimator Tool'!B47</f>
        <v>130000</v>
      </c>
      <c r="C18" s="194"/>
      <c r="D18" s="194"/>
      <c r="E18" s="100" t="s">
        <v>1885</v>
      </c>
      <c r="F18" s="192">
        <f ca="1">'Population Estimator Tool'!F47</f>
        <v>0.67090816203571657</v>
      </c>
      <c r="G18" s="192">
        <f ca="1">'Population Estimator Tool'!G47</f>
        <v>0</v>
      </c>
    </row>
    <row r="19" spans="1:9" ht="14.45" customHeight="1">
      <c r="A19" s="193"/>
      <c r="C19" s="194"/>
      <c r="D19" s="194"/>
    </row>
    <row r="20" spans="1:9" ht="18" customHeight="1">
      <c r="A20" s="93"/>
      <c r="B20" s="409" t="s">
        <v>1037</v>
      </c>
      <c r="C20" s="410"/>
      <c r="D20" s="324"/>
      <c r="E20" s="324"/>
      <c r="F20" s="324"/>
      <c r="G20" s="324"/>
      <c r="H20" s="325"/>
      <c r="I20" s="2"/>
    </row>
    <row r="21" spans="1:9" ht="14.25" customHeight="1">
      <c r="A21" s="195"/>
      <c r="B21" s="195"/>
      <c r="C21" s="195"/>
      <c r="D21" s="195"/>
      <c r="E21" s="195"/>
      <c r="F21" s="184"/>
    </row>
    <row r="22" spans="1:9" ht="14.25" customHeight="1">
      <c r="A22" s="196" t="s">
        <v>1851</v>
      </c>
      <c r="B22" s="195"/>
      <c r="C22" s="195"/>
      <c r="D22" s="195"/>
      <c r="E22" s="195"/>
      <c r="F22" s="184"/>
    </row>
    <row r="23" spans="1:9" ht="14.25" customHeight="1">
      <c r="A23" s="195"/>
      <c r="B23" s="195"/>
      <c r="C23" s="195"/>
      <c r="D23" s="195"/>
      <c r="E23" s="195"/>
      <c r="F23" s="184"/>
    </row>
    <row r="24" spans="1:9" ht="14.25" customHeight="1">
      <c r="A24" s="197" t="s">
        <v>1038</v>
      </c>
      <c r="B24" s="195"/>
      <c r="C24" s="195"/>
      <c r="D24" s="195"/>
      <c r="E24" s="195"/>
      <c r="F24" s="184"/>
    </row>
    <row r="25" spans="1:9" ht="14.25" customHeight="1">
      <c r="A25" t="s">
        <v>1896</v>
      </c>
      <c r="B25" s="184"/>
      <c r="C25" s="184"/>
      <c r="D25" s="184"/>
      <c r="E25" s="2"/>
      <c r="F25" s="184"/>
    </row>
    <row r="26" spans="1:9" ht="14.25" customHeight="1">
      <c r="B26" s="184"/>
      <c r="C26" s="184"/>
      <c r="D26" s="184"/>
      <c r="E26" s="2"/>
      <c r="F26" s="184"/>
    </row>
    <row r="27" spans="1:9" ht="19.5" customHeight="1">
      <c r="A27" s="175" t="s">
        <v>1852</v>
      </c>
      <c r="B27" s="184"/>
      <c r="C27" s="184"/>
      <c r="D27" s="184"/>
      <c r="E27" s="2"/>
      <c r="F27" s="184"/>
    </row>
    <row r="28" spans="1:9" ht="13.5" customHeight="1">
      <c r="B28" s="184"/>
      <c r="C28" s="184"/>
      <c r="D28" s="184"/>
      <c r="E28" s="2"/>
      <c r="F28" s="184"/>
    </row>
    <row r="29" spans="1:9" ht="29.45" customHeight="1">
      <c r="A29" s="405" t="str" cm="1">
        <f t="array" ref="A29">CONCATENATE("These are the default values for the  % of "&amp;INDEX('Disease - complete'!B:B,'PET Menu Driver'!D10)&amp;" treatment eligible patients that will be treated.")</f>
        <v>These are the default values for the  % of Cancer, lung, non-small cell treatment eligible patients that will be treated.</v>
      </c>
      <c r="B29" s="347" t="s">
        <v>2111</v>
      </c>
      <c r="C29" s="120" t="s">
        <v>326</v>
      </c>
      <c r="D29" s="404" t="s">
        <v>2112</v>
      </c>
      <c r="E29" s="404"/>
      <c r="F29" s="120" t="s">
        <v>325</v>
      </c>
      <c r="G29" s="297" t="s">
        <v>326</v>
      </c>
      <c r="H29" s="120"/>
    </row>
    <row r="30" spans="1:9">
      <c r="A30" s="406"/>
      <c r="B30" s="346" cm="1">
        <f t="array" ref="B30">IFERROR(INDEX('Disease - complete'!M:M,MATCH(INDEX('Disease - complete'!$B:$B,'PET Menu Driver'!$D10),'Disease - complete'!$B:$B,0),1),0.75)</f>
        <v>0.3</v>
      </c>
      <c r="C30" s="346" cm="1">
        <f t="array" ref="C30">IFERROR(INDEX('Disease - complete'!O:O,MATCH(INDEX('Disease - complete'!$B:$B,'PET Menu Driver'!$D10),'Disease - complete'!$B:$B,0),1),0.75)</f>
        <v>0</v>
      </c>
      <c r="D30" s="404"/>
      <c r="E30" s="404"/>
      <c r="F30" s="52" t="s">
        <v>1856</v>
      </c>
      <c r="G30" s="344" t="s">
        <v>1856</v>
      </c>
      <c r="H30" s="345"/>
    </row>
    <row r="31" spans="1:9">
      <c r="A31" s="406"/>
      <c r="F31" s="120"/>
      <c r="G31" s="120"/>
    </row>
    <row r="32" spans="1:9">
      <c r="A32" s="144"/>
      <c r="F32" s="120"/>
      <c r="G32" s="120"/>
    </row>
    <row r="33" spans="1:7">
      <c r="A33" s="144"/>
      <c r="F33" s="120"/>
      <c r="G33" s="120"/>
    </row>
    <row r="34" spans="1:7">
      <c r="A34" s="144"/>
      <c r="F34" s="372" t="s">
        <v>1913</v>
      </c>
      <c r="G34" s="372" t="s">
        <v>1912</v>
      </c>
    </row>
    <row r="35" spans="1:7" ht="30">
      <c r="B35" s="120" t="s">
        <v>1003</v>
      </c>
      <c r="C35" s="120" t="s">
        <v>2106</v>
      </c>
      <c r="D35" s="3"/>
      <c r="F35" s="391"/>
      <c r="G35" s="391"/>
    </row>
    <row r="36" spans="1:7">
      <c r="B36" s="338">
        <f ca="1">IF(AND(F30&lt;=1,F30&gt;0),F18*F30,F18*B30)</f>
        <v>0.20127244861071497</v>
      </c>
      <c r="C36" s="338">
        <f ca="1">IF(AND(G30&lt;=1,G30&gt;0),G18*G30,G18*C30)</f>
        <v>0</v>
      </c>
      <c r="D36" s="184"/>
      <c r="F36" s="326">
        <f ca="1">IF(AND(F30&lt;=1,F30&gt;0),F17*F30,F17*B30)</f>
        <v>0.15482496046978073</v>
      </c>
      <c r="G36" s="326">
        <f ca="1">IF(AND(G30&lt;=1,G30&gt;0),G17*G30,G17*C30)</f>
        <v>0</v>
      </c>
    </row>
    <row r="37" spans="1:7">
      <c r="A37" s="115"/>
      <c r="B37" s="184"/>
      <c r="C37" s="184"/>
    </row>
    <row r="38" spans="1:7" ht="14.25" customHeight="1">
      <c r="B38" s="184"/>
      <c r="C38" s="184"/>
      <c r="D38" s="184"/>
      <c r="E38" s="2"/>
    </row>
    <row r="39" spans="1:7" ht="14.45" customHeight="1">
      <c r="C39" s="221" t="str">
        <f>C14</f>
        <v>Cancer, lung, non-small cell</v>
      </c>
      <c r="E39" s="221" t="str">
        <f>E14</f>
        <v>PSMA</v>
      </c>
      <c r="F39" s="184"/>
    </row>
    <row r="40" spans="1:7" ht="14.45" customHeight="1">
      <c r="B40" s="184"/>
      <c r="C40" s="184"/>
      <c r="D40" s="199"/>
      <c r="E40" s="2"/>
    </row>
    <row r="41" spans="1:7" ht="14.45" customHeight="1">
      <c r="A41" s="294"/>
      <c r="B41" s="396" t="s">
        <v>1700</v>
      </c>
      <c r="C41" s="396" t="s">
        <v>1699</v>
      </c>
      <c r="D41" s="398" t="s">
        <v>1721</v>
      </c>
      <c r="E41" s="391" t="s">
        <v>1881</v>
      </c>
      <c r="F41" s="402" t="s">
        <v>1843</v>
      </c>
    </row>
    <row r="42" spans="1:7" ht="14.45" customHeight="1">
      <c r="A42" s="294"/>
      <c r="B42" s="397"/>
      <c r="C42" s="397"/>
      <c r="D42" s="397"/>
      <c r="E42" s="391"/>
      <c r="F42" s="403"/>
    </row>
    <row r="43" spans="1:7" ht="14.45" customHeight="1">
      <c r="A43" s="294"/>
      <c r="B43" s="368" t="str">
        <f>IFERROR(INDEX('Disease - Adoption Data'!B:B,MATCH($C$14,'Disease - Adoption Data'!$A:$A,0),1),'Hidden Drop Down Lists'!L4)</f>
        <v>The degree of variability in patient demographic and disease profiles ​nullifies the ability to use the market penetration concepts applied in gene therapy for this indication.</v>
      </c>
      <c r="C43" s="368" t="str">
        <f>IFERROR(INDEX('Disease - Adoption Data'!C:C,MATCH($C$14,'Disease - Adoption Data'!$A:$A,0),1),"XX")</f>
        <v>XX</v>
      </c>
      <c r="D43" s="395" t="str">
        <f>IFERROR(INDEX('Disease - Adoption Data'!F:F,MATCH($C$14,'Disease - Adoption Data'!$A:$A,0),1),"XX")</f>
        <v>XX</v>
      </c>
      <c r="E43" s="392" t="str">
        <f>IFERROR(INDEX('Disease - Adoption Data'!G:G,MATCH($C$14,'Disease - Adoption Data'!$A:$A,0),1),"XX")</f>
        <v>XX</v>
      </c>
      <c r="F43" s="399" t="str">
        <f>IFERROR(INDEX('Disease - Adoption Data'!H:H,MATCH($C$14,'Disease - Adoption Data'!$A:$A,0),1),"XX")</f>
        <v>XX</v>
      </c>
    </row>
    <row r="44" spans="1:7" ht="14.45" customHeight="1">
      <c r="A44" s="294"/>
      <c r="B44" s="368"/>
      <c r="C44" s="368"/>
      <c r="D44" s="395"/>
      <c r="E44" s="393"/>
      <c r="F44" s="400"/>
    </row>
    <row r="45" spans="1:7" ht="14.45" customHeight="1">
      <c r="A45" s="294"/>
      <c r="B45" s="368"/>
      <c r="C45" s="368"/>
      <c r="D45" s="395"/>
      <c r="E45" s="393"/>
      <c r="F45" s="400"/>
    </row>
    <row r="46" spans="1:7" ht="14.45" customHeight="1">
      <c r="A46" s="294"/>
      <c r="B46" s="368"/>
      <c r="C46" s="368"/>
      <c r="D46" s="395"/>
      <c r="E46" s="393"/>
      <c r="F46" s="400"/>
    </row>
    <row r="47" spans="1:7" ht="14.45" customHeight="1">
      <c r="A47" s="294"/>
      <c r="B47" s="368"/>
      <c r="C47" s="368"/>
      <c r="D47" s="395"/>
      <c r="E47" s="393"/>
      <c r="F47" s="400"/>
    </row>
    <row r="48" spans="1:7" ht="14.45" customHeight="1">
      <c r="A48" s="294"/>
      <c r="B48" s="368"/>
      <c r="C48" s="368"/>
      <c r="D48" s="395"/>
      <c r="E48" s="393"/>
      <c r="F48" s="400"/>
    </row>
    <row r="49" spans="1:11" ht="14.45" customHeight="1">
      <c r="A49" s="294"/>
      <c r="B49" s="368"/>
      <c r="C49" s="368"/>
      <c r="D49" s="395"/>
      <c r="E49" s="393"/>
      <c r="F49" s="400"/>
    </row>
    <row r="50" spans="1:11" ht="14.45" customHeight="1">
      <c r="A50" s="294"/>
      <c r="B50" s="368"/>
      <c r="C50" s="368"/>
      <c r="D50" s="395"/>
      <c r="E50" s="393"/>
      <c r="F50" s="400"/>
    </row>
    <row r="51" spans="1:11" ht="16.5" customHeight="1">
      <c r="A51" s="294"/>
      <c r="B51" s="368"/>
      <c r="C51" s="368"/>
      <c r="D51" s="395"/>
      <c r="E51" s="393"/>
      <c r="F51" s="400"/>
    </row>
    <row r="52" spans="1:11" ht="35.25" customHeight="1">
      <c r="A52" s="294"/>
      <c r="B52" s="368"/>
      <c r="C52" s="368"/>
      <c r="D52" s="395"/>
      <c r="E52" s="393"/>
      <c r="F52" s="400"/>
    </row>
    <row r="53" spans="1:11" ht="14.45" customHeight="1">
      <c r="A53" s="155"/>
      <c r="B53" s="368"/>
      <c r="C53" s="368"/>
      <c r="D53" s="395"/>
      <c r="E53" s="394"/>
      <c r="F53" s="401"/>
      <c r="G53" s="201"/>
      <c r="H53" s="201"/>
    </row>
    <row r="54" spans="1:11" ht="14.45" customHeight="1">
      <c r="A54" s="219"/>
      <c r="B54" s="67"/>
      <c r="C54" s="220"/>
      <c r="D54" s="201"/>
      <c r="E54" s="292"/>
      <c r="F54" s="201"/>
      <c r="G54" s="201"/>
    </row>
    <row r="55" spans="1:11" ht="14.45" customHeight="1">
      <c r="B55" s="389" t="s">
        <v>924</v>
      </c>
      <c r="C55" s="390"/>
      <c r="D55" s="67"/>
      <c r="E55" s="201"/>
      <c r="F55" s="201"/>
      <c r="G55" s="201"/>
    </row>
    <row r="56" spans="1:11" ht="17.25" customHeight="1">
      <c r="B56" s="198"/>
      <c r="C56" s="67"/>
      <c r="D56" s="220"/>
      <c r="E56" s="201"/>
      <c r="F56" s="201"/>
      <c r="G56" s="201"/>
    </row>
    <row r="57" spans="1:11" ht="15" customHeight="1">
      <c r="B57" s="92" t="s">
        <v>1853</v>
      </c>
      <c r="C57" s="67"/>
      <c r="D57" s="220"/>
      <c r="E57" s="201"/>
      <c r="F57" s="201"/>
      <c r="G57" s="201"/>
    </row>
    <row r="58" spans="1:11" ht="15" customHeight="1">
      <c r="B58" s="92" t="s">
        <v>1854</v>
      </c>
      <c r="C58" s="67"/>
      <c r="D58" s="220"/>
      <c r="E58" s="201"/>
      <c r="F58" s="201"/>
      <c r="G58" s="201"/>
    </row>
    <row r="59" spans="1:11" ht="15" customHeight="1">
      <c r="B59" s="412" t="s">
        <v>1897</v>
      </c>
      <c r="C59" s="412"/>
      <c r="D59" s="412"/>
      <c r="E59" s="412"/>
      <c r="F59" s="412"/>
      <c r="G59" s="201"/>
    </row>
    <row r="60" spans="1:11">
      <c r="A60" s="219"/>
      <c r="B60" s="67"/>
      <c r="C60" s="220"/>
      <c r="D60" s="201"/>
      <c r="E60" s="293"/>
      <c r="F60" s="201"/>
      <c r="G60" s="201"/>
    </row>
    <row r="61" spans="1:11" ht="15" customHeight="1">
      <c r="A61" s="323"/>
      <c r="B61" s="387" t="s">
        <v>1040</v>
      </c>
      <c r="C61" s="388"/>
      <c r="D61" s="323"/>
      <c r="E61" s="323"/>
      <c r="F61" s="323"/>
      <c r="G61" s="323"/>
      <c r="H61" s="325"/>
    </row>
    <row r="62" spans="1:11" ht="15" customHeight="1">
      <c r="A62" s="300"/>
      <c r="B62" s="300"/>
      <c r="C62" s="300"/>
      <c r="D62" s="300"/>
      <c r="E62" s="300"/>
      <c r="F62" s="300"/>
      <c r="G62" s="300"/>
      <c r="H62" s="14"/>
      <c r="I62" s="14"/>
      <c r="J62" s="14"/>
      <c r="K62" s="14"/>
    </row>
    <row r="63" spans="1:11" ht="15" customHeight="1">
      <c r="A63" s="112" t="s">
        <v>1041</v>
      </c>
      <c r="H63" s="14"/>
      <c r="I63" s="14"/>
      <c r="J63" s="14"/>
      <c r="K63" s="14"/>
    </row>
    <row r="64" spans="1:11" ht="15" customHeight="1">
      <c r="A64" s="112"/>
    </row>
    <row r="65" spans="1:11" ht="14.25" customHeight="1">
      <c r="A65" s="147" t="s">
        <v>81</v>
      </c>
    </row>
    <row r="66" spans="1:11" ht="14.25" customHeight="1">
      <c r="A66" s="147"/>
    </row>
    <row r="67" spans="1:11" ht="15" customHeight="1">
      <c r="A67" t="s">
        <v>1882</v>
      </c>
    </row>
    <row r="68" spans="1:11" ht="15" customHeight="1">
      <c r="A68" t="s">
        <v>1883</v>
      </c>
    </row>
    <row r="69" spans="1:11" ht="41.1" customHeight="1">
      <c r="B69" s="414" t="s">
        <v>1889</v>
      </c>
      <c r="C69" s="414"/>
      <c r="D69" s="414"/>
    </row>
    <row r="70" spans="1:11" ht="14.45" customHeight="1">
      <c r="A70" s="26" t="s">
        <v>452</v>
      </c>
      <c r="B70" s="305" t="s">
        <v>1884</v>
      </c>
      <c r="C70" s="413" t="s">
        <v>1886</v>
      </c>
      <c r="D70" s="413"/>
      <c r="F70" s="157" t="s">
        <v>1914</v>
      </c>
    </row>
    <row r="71" spans="1:11" ht="14.45" customHeight="1">
      <c r="A71" s="168" t="s">
        <v>78</v>
      </c>
      <c r="B71" s="158">
        <f ca="1">+F36</f>
        <v>0.15482496046978073</v>
      </c>
      <c r="C71" s="411">
        <f ca="1">+B36</f>
        <v>0.20127244861071497</v>
      </c>
      <c r="D71" s="411"/>
      <c r="E71" s="309" t="s">
        <v>80</v>
      </c>
      <c r="F71" s="45"/>
    </row>
    <row r="72" spans="1:11" ht="14.45" customHeight="1">
      <c r="A72" s="168" t="s">
        <v>79</v>
      </c>
      <c r="B72" s="160">
        <f ca="1">+G36</f>
        <v>0</v>
      </c>
      <c r="C72" s="411">
        <f ca="1">+C36</f>
        <v>0</v>
      </c>
      <c r="D72" s="411"/>
      <c r="E72" s="309" t="s">
        <v>1892</v>
      </c>
      <c r="F72" s="46"/>
    </row>
    <row r="73" spans="1:11" ht="14.25" customHeight="1">
      <c r="B73" s="161"/>
    </row>
    <row r="74" spans="1:11" ht="14.25" customHeight="1">
      <c r="A74" s="23" t="s">
        <v>1911</v>
      </c>
      <c r="C74" s="159"/>
      <c r="I74" s="3"/>
    </row>
    <row r="75" spans="1:11" ht="14.25" customHeight="1">
      <c r="A75" t="s">
        <v>1898</v>
      </c>
      <c r="C75" s="162"/>
    </row>
    <row r="76" spans="1:11" ht="15.95" customHeight="1">
      <c r="A76" t="s">
        <v>1893</v>
      </c>
      <c r="C76" s="162"/>
    </row>
    <row r="77" spans="1:11" ht="14.25" customHeight="1">
      <c r="C77" s="162"/>
    </row>
    <row r="78" spans="1:11" ht="14.25" customHeight="1">
      <c r="A78" t="s">
        <v>1899</v>
      </c>
      <c r="B78" s="330" t="s">
        <v>89</v>
      </c>
      <c r="C78" s="162"/>
    </row>
    <row r="79" spans="1:11" ht="14.45" customHeight="1">
      <c r="C79" s="162"/>
    </row>
    <row r="80" spans="1:11" ht="13.5" customHeight="1">
      <c r="B80" s="3">
        <f ca="1">IF('Therapy Impact Modeling Tool'!$B$41="No",'Therapy Impact Modeling Tool'!$B$43,YEAR(TODAY()))</f>
        <v>2022</v>
      </c>
      <c r="C80" s="3">
        <f ca="1">B80+1</f>
        <v>2023</v>
      </c>
      <c r="D80" s="3">
        <f ca="1">C80+1</f>
        <v>2024</v>
      </c>
      <c r="E80" s="3">
        <f t="shared" ref="E80" ca="1" si="0">D80+1</f>
        <v>2025</v>
      </c>
      <c r="F80" s="3">
        <f ca="1">E80+1</f>
        <v>2026</v>
      </c>
      <c r="G80" s="3">
        <f t="shared" ref="G80" ca="1" si="1">F80+1</f>
        <v>2027</v>
      </c>
      <c r="H80" s="3">
        <f ca="1">G80+1</f>
        <v>2028</v>
      </c>
      <c r="I80" s="3">
        <f ca="1">H80+1</f>
        <v>2029</v>
      </c>
      <c r="J80" s="3">
        <f t="shared" ref="J80" ca="1" si="2">I80+1</f>
        <v>2030</v>
      </c>
      <c r="K80" s="3">
        <f ca="1">J80+1</f>
        <v>2031</v>
      </c>
    </row>
    <row r="81" spans="1:11" ht="14.1" customHeight="1">
      <c r="A81" t="s">
        <v>1900</v>
      </c>
      <c r="B81" s="47">
        <v>0.6</v>
      </c>
      <c r="C81" s="47">
        <v>0.75</v>
      </c>
      <c r="D81" s="47">
        <v>0.8</v>
      </c>
      <c r="E81" s="47">
        <v>1</v>
      </c>
      <c r="F81" s="47">
        <v>1</v>
      </c>
      <c r="G81" s="47">
        <v>1</v>
      </c>
      <c r="H81" s="47">
        <v>1</v>
      </c>
      <c r="I81" s="47">
        <v>1</v>
      </c>
      <c r="J81" s="47">
        <v>1</v>
      </c>
      <c r="K81" s="47">
        <v>1</v>
      </c>
    </row>
    <row r="82" spans="1:11" ht="14.25" customHeight="1">
      <c r="B82" s="1" t="s">
        <v>1907</v>
      </c>
      <c r="C82" s="162"/>
    </row>
    <row r="83" spans="1:11" ht="14.25" customHeight="1">
      <c r="C83" s="162"/>
    </row>
    <row r="84" spans="1:11" ht="14.25" customHeight="1">
      <c r="C84" s="162"/>
    </row>
    <row r="85" spans="1:11">
      <c r="A85" t="s">
        <v>1901</v>
      </c>
      <c r="B85" s="330">
        <v>5</v>
      </c>
      <c r="C85" t="s">
        <v>1904</v>
      </c>
    </row>
    <row r="86" spans="1:11">
      <c r="C86" s="162"/>
    </row>
    <row r="87" spans="1:11">
      <c r="B87" s="3">
        <f ca="1">B80</f>
        <v>2022</v>
      </c>
      <c r="C87" s="3">
        <f ca="1">B87+1</f>
        <v>2023</v>
      </c>
      <c r="D87" s="3">
        <f ca="1">C87+1</f>
        <v>2024</v>
      </c>
      <c r="E87" s="3">
        <f t="shared" ref="E87" ca="1" si="3">D87+1</f>
        <v>2025</v>
      </c>
      <c r="F87" s="3">
        <f ca="1">E87+1</f>
        <v>2026</v>
      </c>
      <c r="G87" s="3">
        <f t="shared" ref="G87" ca="1" si="4">F87+1</f>
        <v>2027</v>
      </c>
      <c r="H87" s="3">
        <f ca="1">G87+1</f>
        <v>2028</v>
      </c>
      <c r="I87" s="3">
        <f ca="1">H87+1</f>
        <v>2029</v>
      </c>
      <c r="J87" s="3">
        <f t="shared" ref="J87" ca="1" si="5">I87+1</f>
        <v>2030</v>
      </c>
      <c r="K87" s="3">
        <f ca="1">J87+1</f>
        <v>2031</v>
      </c>
    </row>
    <row r="88" spans="1:11" ht="14.45" customHeight="1">
      <c r="A88" t="s">
        <v>1924</v>
      </c>
      <c r="B88" s="314">
        <f>IF($B$78="Yes",1,1/$B$85)</f>
        <v>0.2</v>
      </c>
      <c r="C88" s="314">
        <f t="shared" ref="C88:K88" ca="1" si="6">IF($B$78="Yes",1,IF(B88=1,1,1/($B$85-(C94-$B$94))))</f>
        <v>0.25</v>
      </c>
      <c r="D88" s="314">
        <f t="shared" ca="1" si="6"/>
        <v>0.33333333333333331</v>
      </c>
      <c r="E88" s="314">
        <f t="shared" ca="1" si="6"/>
        <v>0.5</v>
      </c>
      <c r="F88" s="314">
        <f t="shared" ca="1" si="6"/>
        <v>1</v>
      </c>
      <c r="G88" s="314">
        <f t="shared" ca="1" si="6"/>
        <v>1</v>
      </c>
      <c r="H88" s="314">
        <f t="shared" ca="1" si="6"/>
        <v>1</v>
      </c>
      <c r="I88" s="314">
        <f t="shared" ca="1" si="6"/>
        <v>1</v>
      </c>
      <c r="J88" s="314">
        <f t="shared" ca="1" si="6"/>
        <v>1</v>
      </c>
      <c r="K88" s="314">
        <f t="shared" ca="1" si="6"/>
        <v>1</v>
      </c>
    </row>
    <row r="89" spans="1:11" ht="15" customHeight="1">
      <c r="A89" s="295"/>
      <c r="B89" s="304"/>
      <c r="F89" s="304"/>
      <c r="G89" s="304"/>
      <c r="H89" s="304"/>
    </row>
    <row r="90" spans="1:11" ht="14.45" customHeight="1">
      <c r="A90" s="302" t="s">
        <v>1908</v>
      </c>
      <c r="B90" s="313">
        <v>0.9</v>
      </c>
      <c r="C90" s="200" t="s">
        <v>1909</v>
      </c>
      <c r="D90" s="310"/>
      <c r="G90" s="301"/>
      <c r="H90" s="304"/>
    </row>
    <row r="91" spans="1:11">
      <c r="A91" s="303"/>
      <c r="B91" s="315"/>
      <c r="C91" s="310"/>
      <c r="D91" s="310"/>
      <c r="G91" s="301"/>
      <c r="H91" s="304"/>
    </row>
    <row r="92" spans="1:11">
      <c r="A92" s="318" t="s">
        <v>1906</v>
      </c>
      <c r="B92" s="315"/>
      <c r="C92" s="319"/>
      <c r="D92" s="319"/>
      <c r="G92" s="320"/>
      <c r="H92" s="321"/>
    </row>
    <row r="93" spans="1:11">
      <c r="A93" s="303"/>
      <c r="B93" s="315"/>
      <c r="C93" s="310"/>
      <c r="D93" s="310"/>
      <c r="G93" s="301"/>
      <c r="H93" s="304"/>
    </row>
    <row r="94" spans="1:11">
      <c r="A94" s="303"/>
      <c r="B94" s="3">
        <f ca="1">B80</f>
        <v>2022</v>
      </c>
      <c r="C94" s="3">
        <f ca="1">B94+1</f>
        <v>2023</v>
      </c>
      <c r="D94" s="3">
        <f ca="1">C94+1</f>
        <v>2024</v>
      </c>
      <c r="E94" s="3">
        <f t="shared" ref="E94:J94" ca="1" si="7">D94+1</f>
        <v>2025</v>
      </c>
      <c r="F94" s="3">
        <f ca="1">E94+1</f>
        <v>2026</v>
      </c>
      <c r="G94" s="3">
        <f t="shared" ca="1" si="7"/>
        <v>2027</v>
      </c>
      <c r="H94" s="3">
        <f ca="1">G94+1</f>
        <v>2028</v>
      </c>
      <c r="I94" s="3">
        <f ca="1">H94+1</f>
        <v>2029</v>
      </c>
      <c r="J94" s="3">
        <f t="shared" ca="1" si="7"/>
        <v>2030</v>
      </c>
      <c r="K94" s="3">
        <f ca="1">J94+1</f>
        <v>2031</v>
      </c>
    </row>
    <row r="95" spans="1:11">
      <c r="A95" t="s">
        <v>1905</v>
      </c>
      <c r="B95" s="316">
        <f ca="1">Calculations!C19</f>
        <v>0</v>
      </c>
      <c r="C95" s="316">
        <f ca="1">Calculations!D19</f>
        <v>0</v>
      </c>
      <c r="D95" s="316">
        <f ca="1">Calculations!E19</f>
        <v>0</v>
      </c>
      <c r="E95" s="316">
        <f ca="1">Calculations!F19</f>
        <v>0</v>
      </c>
      <c r="F95" s="316">
        <f ca="1">Calculations!G19</f>
        <v>0</v>
      </c>
      <c r="G95" s="316">
        <f ca="1">Calculations!H19</f>
        <v>0</v>
      </c>
      <c r="H95" s="316">
        <f ca="1">Calculations!I19</f>
        <v>0</v>
      </c>
      <c r="I95" s="316">
        <f ca="1">Calculations!J19</f>
        <v>0</v>
      </c>
      <c r="J95" s="316">
        <f ca="1">Calculations!K19</f>
        <v>0</v>
      </c>
      <c r="K95" s="316">
        <f ca="1">Calculations!L19</f>
        <v>0</v>
      </c>
    </row>
    <row r="96" spans="1:11">
      <c r="A96" t="s">
        <v>1902</v>
      </c>
      <c r="B96" s="316">
        <f ca="1">Calculations!C17</f>
        <v>0</v>
      </c>
      <c r="C96" s="316">
        <f ca="1">Calculations!D17</f>
        <v>0</v>
      </c>
      <c r="D96" s="316">
        <f ca="1">Calculations!E17</f>
        <v>0</v>
      </c>
      <c r="E96" s="316">
        <f ca="1">Calculations!F17</f>
        <v>0</v>
      </c>
      <c r="F96" s="316">
        <f ca="1">Calculations!G17</f>
        <v>0</v>
      </c>
      <c r="G96" s="316">
        <f ca="1">Calculations!H17</f>
        <v>0</v>
      </c>
      <c r="H96" s="316">
        <f ca="1">Calculations!I17</f>
        <v>0</v>
      </c>
      <c r="I96" s="316">
        <f ca="1">Calculations!J17</f>
        <v>0</v>
      </c>
      <c r="J96" s="316">
        <f ca="1">Calculations!K17</f>
        <v>0</v>
      </c>
      <c r="K96" s="316">
        <f ca="1">Calculations!L17</f>
        <v>0</v>
      </c>
    </row>
    <row r="97" spans="1:11">
      <c r="A97" s="1" t="s">
        <v>1903</v>
      </c>
      <c r="B97" s="317">
        <f ca="1">+'Therapy Impact Modeling Tool'!B59</f>
        <v>0</v>
      </c>
      <c r="C97" s="317">
        <f ca="1">+'Therapy Impact Modeling Tool'!C59</f>
        <v>0</v>
      </c>
      <c r="D97" s="317">
        <f ca="1">+'Therapy Impact Modeling Tool'!D59</f>
        <v>0</v>
      </c>
      <c r="E97" s="317">
        <f ca="1">+'Therapy Impact Modeling Tool'!E59</f>
        <v>0</v>
      </c>
      <c r="F97" s="317">
        <f ca="1">+'Therapy Impact Modeling Tool'!F59</f>
        <v>0</v>
      </c>
      <c r="G97" s="317">
        <f ca="1">+'Therapy Impact Modeling Tool'!G59</f>
        <v>0</v>
      </c>
      <c r="H97" s="317">
        <f ca="1">+'Therapy Impact Modeling Tool'!H59</f>
        <v>0</v>
      </c>
      <c r="I97" s="317">
        <f ca="1">+'Therapy Impact Modeling Tool'!I59</f>
        <v>0</v>
      </c>
      <c r="J97" s="317">
        <f ca="1">+'Therapy Impact Modeling Tool'!J59</f>
        <v>0</v>
      </c>
      <c r="K97" s="317">
        <f ca="1">+'Therapy Impact Modeling Tool'!K59</f>
        <v>0</v>
      </c>
    </row>
  </sheetData>
  <sheetProtection sheet="1" objects="1" scenarios="1"/>
  <mergeCells count="29">
    <mergeCell ref="C71:D71"/>
    <mergeCell ref="C72:D72"/>
    <mergeCell ref="C41:C42"/>
    <mergeCell ref="E41:E42"/>
    <mergeCell ref="B59:F59"/>
    <mergeCell ref="C70:D70"/>
    <mergeCell ref="B69:D69"/>
    <mergeCell ref="A29:A31"/>
    <mergeCell ref="G34:G35"/>
    <mergeCell ref="C13:D13"/>
    <mergeCell ref="C14:D14"/>
    <mergeCell ref="D17:E17"/>
    <mergeCell ref="F12:F13"/>
    <mergeCell ref="G12:G13"/>
    <mergeCell ref="B20:C20"/>
    <mergeCell ref="B1:C1"/>
    <mergeCell ref="B11:C11"/>
    <mergeCell ref="B61:C61"/>
    <mergeCell ref="B55:C55"/>
    <mergeCell ref="F34:F35"/>
    <mergeCell ref="B43:B53"/>
    <mergeCell ref="C43:C53"/>
    <mergeCell ref="E43:E53"/>
    <mergeCell ref="D43:D53"/>
    <mergeCell ref="B41:B42"/>
    <mergeCell ref="D41:D42"/>
    <mergeCell ref="F43:F53"/>
    <mergeCell ref="F41:F42"/>
    <mergeCell ref="D29:E30"/>
  </mergeCells>
  <conditionalFormatting sqref="B85">
    <cfRule type="expression" dxfId="3" priority="1">
      <formula>$B$78="Yes"</formula>
    </cfRule>
  </conditionalFormatting>
  <conditionalFormatting sqref="B81:K81">
    <cfRule type="expression" dxfId="2" priority="2">
      <formula>$B$78="Yes"</formula>
    </cfRule>
  </conditionalFormatting>
  <hyperlinks>
    <hyperlink ref="A10" r:id="rId1" xr:uid="{CEBD045C-AB99-4B5C-92A1-F7CD5C9431AD}"/>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A956AB9-1740-450F-80EA-94683E2CAAAF}">
          <x14:formula1>
            <xm:f>'Hidden Drop Down Lists'!$A$5:$A$6</xm:f>
          </x14:formula1>
          <xm:sqref>C60 B78 C54 D56:D58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R86"/>
  <sheetViews>
    <sheetView showGridLines="0" zoomScaleNormal="100" workbookViewId="0">
      <selection activeCell="B30" sqref="B30:C30"/>
    </sheetView>
  </sheetViews>
  <sheetFormatPr defaultColWidth="9.140625" defaultRowHeight="15"/>
  <cols>
    <col min="1" max="1" width="45" customWidth="1"/>
    <col min="2" max="2" width="39.85546875" customWidth="1"/>
    <col min="3" max="3" width="20" customWidth="1"/>
    <col min="4" max="4" width="14.42578125" customWidth="1"/>
    <col min="5" max="5" width="21.85546875" customWidth="1"/>
    <col min="6" max="6" width="16.140625" customWidth="1"/>
    <col min="7" max="7" width="14.140625" customWidth="1"/>
    <col min="8" max="8" width="15.42578125" customWidth="1"/>
    <col min="9" max="10" width="14.140625" customWidth="1"/>
    <col min="11" max="11" width="16" customWidth="1"/>
    <col min="12" max="13" width="14.140625" customWidth="1"/>
    <col min="14" max="14" width="4.85546875" customWidth="1"/>
    <col min="15" max="16" width="14.140625" customWidth="1"/>
  </cols>
  <sheetData>
    <row r="1" spans="1:11" ht="23.25">
      <c r="A1" s="342"/>
      <c r="B1" s="377" t="s">
        <v>306</v>
      </c>
      <c r="C1" s="417"/>
      <c r="D1" s="333"/>
      <c r="E1" s="333"/>
      <c r="F1" s="333"/>
      <c r="G1" s="333"/>
      <c r="H1" s="333"/>
    </row>
    <row r="2" spans="1:11">
      <c r="B2" s="92"/>
    </row>
    <row r="3" spans="1:11">
      <c r="A3" s="92" t="s">
        <v>1039</v>
      </c>
    </row>
    <row r="4" spans="1:11">
      <c r="A4" s="92" t="s">
        <v>305</v>
      </c>
    </row>
    <row r="6" spans="1:11">
      <c r="A6" t="s">
        <v>1887</v>
      </c>
    </row>
    <row r="7" spans="1:11">
      <c r="A7" t="s">
        <v>451</v>
      </c>
    </row>
    <row r="8" spans="1:11">
      <c r="A8" t="s">
        <v>1920</v>
      </c>
    </row>
    <row r="10" spans="1:11">
      <c r="A10" s="92" t="s">
        <v>1915</v>
      </c>
    </row>
    <row r="11" spans="1:11">
      <c r="A11" s="471" t="s">
        <v>1926</v>
      </c>
    </row>
    <row r="12" spans="1:11" ht="18.75">
      <c r="A12" s="335"/>
      <c r="B12" s="415" t="s">
        <v>1888</v>
      </c>
      <c r="C12" s="374"/>
      <c r="D12" s="335"/>
      <c r="E12" s="335"/>
      <c r="F12" s="335"/>
      <c r="G12" s="335"/>
      <c r="H12" s="306"/>
      <c r="I12" s="306"/>
      <c r="J12" s="306"/>
      <c r="K12" s="306"/>
    </row>
    <row r="13" spans="1:11">
      <c r="A13" s="1" t="s">
        <v>1919</v>
      </c>
    </row>
    <row r="14" spans="1:11">
      <c r="A14" s="1"/>
    </row>
    <row r="15" spans="1:11">
      <c r="B15" s="413" t="s">
        <v>1889</v>
      </c>
      <c r="C15" s="413"/>
      <c r="D15" s="413"/>
    </row>
    <row r="16" spans="1:11">
      <c r="A16" s="1" t="s">
        <v>452</v>
      </c>
      <c r="B16" s="297" t="s">
        <v>1884</v>
      </c>
      <c r="C16" s="414" t="s">
        <v>1886</v>
      </c>
      <c r="D16" s="414"/>
      <c r="E16" s="185" t="s">
        <v>1910</v>
      </c>
    </row>
    <row r="17" spans="1:11">
      <c r="A17" t="s">
        <v>78</v>
      </c>
      <c r="B17" s="158">
        <f ca="1">+'Market Adjustment Tool'!B71</f>
        <v>0.15482496046978073</v>
      </c>
      <c r="C17" s="423">
        <f ca="1">+'Market Adjustment Tool'!C71</f>
        <v>0.20127244861071497</v>
      </c>
      <c r="D17" s="424"/>
      <c r="E17" s="322">
        <f>'Market Adjustment Tool'!F71</f>
        <v>0</v>
      </c>
    </row>
    <row r="18" spans="1:11">
      <c r="A18" t="s">
        <v>79</v>
      </c>
      <c r="B18" s="158">
        <f ca="1">+'Market Adjustment Tool'!B72</f>
        <v>0</v>
      </c>
      <c r="C18" s="423">
        <f ca="1">+'Market Adjustment Tool'!C72</f>
        <v>0</v>
      </c>
      <c r="D18" s="424"/>
      <c r="E18" s="322">
        <f>'Market Adjustment Tool'!F72</f>
        <v>0</v>
      </c>
    </row>
    <row r="20" spans="1:11">
      <c r="B20" s="3">
        <f ca="1">+'Market Adjustment Tool'!B94</f>
        <v>2022</v>
      </c>
      <c r="C20" s="3">
        <f ca="1">+'Market Adjustment Tool'!C94</f>
        <v>2023</v>
      </c>
      <c r="D20" s="3">
        <f ca="1">+'Market Adjustment Tool'!D94</f>
        <v>2024</v>
      </c>
      <c r="E20" s="3">
        <f ca="1">+'Market Adjustment Tool'!E94</f>
        <v>2025</v>
      </c>
      <c r="F20" s="3">
        <f ca="1">+'Market Adjustment Tool'!F94</f>
        <v>2026</v>
      </c>
      <c r="G20" s="3">
        <f ca="1">+'Market Adjustment Tool'!G94</f>
        <v>2027</v>
      </c>
      <c r="H20" s="3">
        <f ca="1">+'Market Adjustment Tool'!H94</f>
        <v>2028</v>
      </c>
      <c r="I20" s="3">
        <f ca="1">+'Market Adjustment Tool'!I94</f>
        <v>2029</v>
      </c>
      <c r="J20" s="3">
        <f ca="1">+'Market Adjustment Tool'!J94</f>
        <v>2030</v>
      </c>
      <c r="K20" s="3">
        <f ca="1">+'Market Adjustment Tool'!K94</f>
        <v>2031</v>
      </c>
    </row>
    <row r="21" spans="1:11" ht="15.75" customHeight="1">
      <c r="A21" s="1" t="s">
        <v>84</v>
      </c>
      <c r="B21" s="307">
        <f ca="1">+'Market Adjustment Tool'!B97</f>
        <v>0</v>
      </c>
      <c r="C21" s="307">
        <f ca="1">+'Market Adjustment Tool'!C97</f>
        <v>0</v>
      </c>
      <c r="D21" s="307">
        <f ca="1">+'Market Adjustment Tool'!D97</f>
        <v>0</v>
      </c>
      <c r="E21" s="307">
        <f ca="1">+'Market Adjustment Tool'!E97</f>
        <v>0</v>
      </c>
      <c r="F21" s="307">
        <f ca="1">+'Market Adjustment Tool'!F97</f>
        <v>0</v>
      </c>
      <c r="G21" s="307">
        <f ca="1">+'Market Adjustment Tool'!G97</f>
        <v>0</v>
      </c>
      <c r="H21" s="307">
        <f ca="1">+'Market Adjustment Tool'!H97</f>
        <v>0</v>
      </c>
      <c r="I21" s="307">
        <f ca="1">+'Market Adjustment Tool'!I97</f>
        <v>0</v>
      </c>
      <c r="J21" s="307">
        <f ca="1">+'Market Adjustment Tool'!J97</f>
        <v>0</v>
      </c>
      <c r="K21" s="307">
        <f ca="1">+'Market Adjustment Tool'!K97</f>
        <v>0</v>
      </c>
    </row>
    <row r="22" spans="1:11" ht="15.75" customHeight="1">
      <c r="A22" s="1"/>
    </row>
    <row r="23" spans="1:11" s="7" customFormat="1" ht="15.75" customHeight="1">
      <c r="A23" s="334"/>
      <c r="B23" s="416" t="s">
        <v>928</v>
      </c>
      <c r="C23" s="374"/>
      <c r="D23" s="334"/>
      <c r="E23" s="334"/>
      <c r="F23" s="334"/>
      <c r="G23" s="334"/>
      <c r="H23" s="146"/>
      <c r="I23" s="146"/>
      <c r="J23" s="146"/>
      <c r="K23" s="146"/>
    </row>
    <row r="24" spans="1:11">
      <c r="A24" s="112" t="s">
        <v>929</v>
      </c>
    </row>
    <row r="25" spans="1:11" ht="14.25" customHeight="1"/>
    <row r="26" spans="1:11">
      <c r="A26" s="147" t="s">
        <v>76</v>
      </c>
      <c r="G26" s="382" t="s">
        <v>1049</v>
      </c>
      <c r="H26" s="382"/>
      <c r="I26" s="382"/>
    </row>
    <row r="27" spans="1:11" ht="30" customHeight="1">
      <c r="A27" s="425" t="s">
        <v>454</v>
      </c>
      <c r="B27" s="362"/>
      <c r="C27" s="362"/>
      <c r="D27" s="362"/>
      <c r="E27" s="362"/>
      <c r="F27" s="67"/>
      <c r="G27" s="426" t="s">
        <v>1034</v>
      </c>
      <c r="H27" s="427"/>
      <c r="I27" s="90" t="s">
        <v>44</v>
      </c>
    </row>
    <row r="28" spans="1:11">
      <c r="A28" s="1"/>
      <c r="G28" s="422" t="s">
        <v>1029</v>
      </c>
      <c r="H28" s="422"/>
      <c r="I28" s="148">
        <v>2500000</v>
      </c>
    </row>
    <row r="29" spans="1:11">
      <c r="G29" s="422" t="s">
        <v>1030</v>
      </c>
      <c r="H29" s="422"/>
      <c r="I29" s="148">
        <v>800000</v>
      </c>
    </row>
    <row r="30" spans="1:11">
      <c r="A30" t="s">
        <v>930</v>
      </c>
      <c r="B30" s="418"/>
      <c r="C30" s="419"/>
      <c r="D30" s="118"/>
      <c r="G30" s="422" t="s">
        <v>1050</v>
      </c>
      <c r="H30" s="422"/>
      <c r="I30" s="148">
        <v>800000</v>
      </c>
    </row>
    <row r="31" spans="1:11" ht="15" customHeight="1">
      <c r="A31" t="s">
        <v>315</v>
      </c>
      <c r="B31" s="312" t="str">
        <f>'Population Estimator Tool'!B19</f>
        <v>Cancer, solid tumor</v>
      </c>
      <c r="C31" s="420" t="str">
        <f>'Population Estimator Tool'!C19</f>
        <v>Cancer, lung, non-small cell</v>
      </c>
      <c r="D31" s="421"/>
      <c r="E31" s="312" t="str">
        <f>'Population Estimator Tool'!E19</f>
        <v>PSMA</v>
      </c>
      <c r="F31" s="149" t="str">
        <f ca="1">IF(OR('Population Estimator Tool'!C20&lt;&gt;"",'Population Estimator Tool'!E20&lt;&gt;""), "Warning: Need to Update Disease/Subpopulation Data on Population Estimator Tool","")</f>
        <v/>
      </c>
      <c r="G31" s="422" t="s">
        <v>1031</v>
      </c>
      <c r="H31" s="422"/>
      <c r="I31" s="148">
        <v>500000</v>
      </c>
    </row>
    <row r="32" spans="1:11" ht="15" customHeight="1">
      <c r="A32" s="311"/>
      <c r="B32" s="440"/>
      <c r="C32" s="440"/>
      <c r="D32" s="440"/>
      <c r="E32" s="440"/>
      <c r="G32" s="438" t="s">
        <v>1032</v>
      </c>
      <c r="H32" s="439"/>
      <c r="I32" s="148">
        <v>400000</v>
      </c>
    </row>
    <row r="33" spans="1:15" ht="15" customHeight="1">
      <c r="A33" s="118"/>
      <c r="C33" s="150"/>
      <c r="G33" s="422" t="s">
        <v>1051</v>
      </c>
      <c r="H33" s="422"/>
      <c r="I33" s="148">
        <v>100000</v>
      </c>
    </row>
    <row r="34" spans="1:15" ht="17.25" customHeight="1">
      <c r="A34" s="151" t="s">
        <v>935</v>
      </c>
      <c r="C34" s="150"/>
      <c r="G34" s="422" t="s">
        <v>1033</v>
      </c>
      <c r="H34" s="422"/>
      <c r="I34" s="148">
        <v>50000</v>
      </c>
    </row>
    <row r="35" spans="1:15" ht="14.45" customHeight="1">
      <c r="A35" s="151"/>
      <c r="C35" s="150"/>
      <c r="K35" s="152"/>
    </row>
    <row r="36" spans="1:15" ht="15" customHeight="1">
      <c r="A36" s="329" t="s">
        <v>914</v>
      </c>
      <c r="B36" s="68"/>
      <c r="C36" s="332" t="str">
        <f>CONCATENATE(" If no therapy cost is entered, the default therapy cost for therapeutic category """&amp;'Hidden Drop Down Lists'!$E$17&amp;""" will be used (see table above).")</f>
        <v xml:space="preserve"> If no therapy cost is entered, the default therapy cost for therapeutic category "CAR-T/TCR" will be used (see table above).</v>
      </c>
      <c r="G36" s="153"/>
    </row>
    <row r="37" spans="1:15" ht="15" customHeight="1">
      <c r="A37" s="329" t="s">
        <v>1862</v>
      </c>
      <c r="B37" s="68"/>
      <c r="C37" s="150"/>
      <c r="G37" s="118"/>
      <c r="H37" s="118"/>
      <c r="I37" s="118"/>
      <c r="J37" s="118"/>
      <c r="L37" s="118"/>
      <c r="O37" s="118"/>
    </row>
    <row r="38" spans="1:15" ht="15" customHeight="1">
      <c r="A38" s="329" t="s">
        <v>931</v>
      </c>
      <c r="B38" s="68"/>
      <c r="C38" s="441" t="s">
        <v>1005</v>
      </c>
      <c r="D38" s="442"/>
      <c r="E38" s="442"/>
      <c r="F38" s="442"/>
      <c r="G38" s="442"/>
      <c r="H38" s="437"/>
      <c r="I38" s="118"/>
      <c r="J38" s="118"/>
      <c r="K38" s="118"/>
      <c r="L38" s="118"/>
      <c r="O38" s="118"/>
    </row>
    <row r="39" spans="1:15" ht="15" customHeight="1">
      <c r="A39" s="1" t="s">
        <v>915</v>
      </c>
      <c r="B39" s="331">
        <f>IF(B36&gt;0,B36+B37+B38,'Hidden Drop Down Lists'!C17+B37+B38)</f>
        <v>400000</v>
      </c>
      <c r="C39" s="150"/>
      <c r="G39" s="118"/>
      <c r="H39" s="118"/>
      <c r="I39" s="118"/>
      <c r="J39" s="118"/>
      <c r="K39" s="118"/>
      <c r="L39" s="118"/>
      <c r="O39" s="118"/>
    </row>
    <row r="40" spans="1:15" ht="14.45" customHeight="1">
      <c r="B40" s="154"/>
      <c r="C40" s="150"/>
      <c r="G40" s="118"/>
      <c r="H40" s="118"/>
      <c r="I40" s="118"/>
      <c r="J40" s="118"/>
      <c r="K40" s="118"/>
      <c r="L40" s="118"/>
      <c r="O40" s="118"/>
    </row>
    <row r="41" spans="1:15" ht="15" customHeight="1">
      <c r="A41" s="92" t="str">
        <f ca="1">CONCATENATE("Do you want to start analysis this year ("&amp;YEAR(TODAY())&amp;")?")</f>
        <v>Do you want to start analysis this year (2025)?</v>
      </c>
      <c r="B41" s="330" t="s">
        <v>89</v>
      </c>
      <c r="C41" t="s">
        <v>1922</v>
      </c>
      <c r="K41" s="118"/>
    </row>
    <row r="42" spans="1:15" ht="15" customHeight="1">
      <c r="A42" s="92"/>
      <c r="K42" s="118"/>
    </row>
    <row r="43" spans="1:15" ht="15" customHeight="1">
      <c r="A43" t="s">
        <v>1921</v>
      </c>
      <c r="B43" s="330">
        <v>2022</v>
      </c>
      <c r="C43" s="92" t="s">
        <v>1923</v>
      </c>
      <c r="D43" s="92"/>
    </row>
    <row r="44" spans="1:15" ht="8.1" customHeight="1">
      <c r="A44" s="147"/>
    </row>
    <row r="45" spans="1:15" ht="15" customHeight="1">
      <c r="A45" s="147" t="s">
        <v>77</v>
      </c>
    </row>
    <row r="46" spans="1:15" ht="8.1" customHeight="1"/>
    <row r="47" spans="1:15" ht="15" customHeight="1">
      <c r="A47" t="s">
        <v>314</v>
      </c>
      <c r="B47" s="17">
        <f>'Population Estimator Tool'!B47</f>
        <v>130000</v>
      </c>
      <c r="C47" s="118"/>
    </row>
    <row r="48" spans="1:15" ht="15" customHeight="1"/>
    <row r="49" spans="1:13" ht="18.75">
      <c r="A49" s="336"/>
      <c r="B49" s="434" t="s">
        <v>936</v>
      </c>
      <c r="C49" s="435"/>
      <c r="D49" s="336"/>
      <c r="E49" s="336"/>
      <c r="F49" s="336"/>
      <c r="G49" s="336"/>
      <c r="H49" s="93"/>
      <c r="I49" s="93"/>
      <c r="J49" s="93"/>
      <c r="K49" s="163"/>
    </row>
    <row r="50" spans="1:13">
      <c r="A50" s="436" t="s">
        <v>1890</v>
      </c>
      <c r="B50" s="437"/>
      <c r="C50" s="437"/>
      <c r="E50" s="91"/>
    </row>
    <row r="51" spans="1:13" ht="14.25" customHeight="1">
      <c r="C51" s="164"/>
      <c r="E51" s="91"/>
    </row>
    <row r="52" spans="1:13" ht="14.25" customHeight="1">
      <c r="A52" s="432" t="s">
        <v>1025</v>
      </c>
      <c r="B52" s="433"/>
      <c r="C52" s="433"/>
      <c r="D52" s="433"/>
      <c r="E52" s="433"/>
      <c r="F52" s="433"/>
      <c r="G52" s="433"/>
      <c r="H52" s="433"/>
      <c r="I52" s="433"/>
      <c r="J52" s="433"/>
      <c r="K52" s="144"/>
    </row>
    <row r="53" spans="1:13" ht="17.25" customHeight="1">
      <c r="A53" s="432"/>
      <c r="B53" s="433"/>
      <c r="C53" s="433"/>
      <c r="D53" s="433"/>
      <c r="E53" s="433"/>
      <c r="F53" s="433"/>
      <c r="G53" s="433"/>
      <c r="H53" s="433"/>
      <c r="I53" s="433"/>
      <c r="J53" s="433"/>
    </row>
    <row r="54" spans="1:13" ht="17.25" customHeight="1">
      <c r="A54" s="1" t="s">
        <v>1048</v>
      </c>
    </row>
    <row r="55" spans="1:13" ht="9" customHeight="1">
      <c r="A55" s="1"/>
    </row>
    <row r="56" spans="1:13" ht="17.25" customHeight="1">
      <c r="A56" t="s">
        <v>1026</v>
      </c>
      <c r="B56" s="330" t="s">
        <v>88</v>
      </c>
    </row>
    <row r="57" spans="1:13" ht="8.1" customHeight="1">
      <c r="B57" s="3"/>
      <c r="C57" s="3"/>
      <c r="D57" s="3"/>
      <c r="E57" s="3"/>
      <c r="F57" s="3"/>
      <c r="G57" s="3"/>
      <c r="H57" s="3"/>
      <c r="I57" s="3"/>
      <c r="J57" s="3"/>
      <c r="K57" s="3"/>
    </row>
    <row r="58" spans="1:13">
      <c r="B58" s="3">
        <f ca="1">IF($B$41="No",$B$43,YEAR(TODAY()))</f>
        <v>2022</v>
      </c>
      <c r="C58" s="3">
        <f ca="1">B58+1</f>
        <v>2023</v>
      </c>
      <c r="D58" s="3">
        <f t="shared" ref="D58:K58" ca="1" si="0">C58+1</f>
        <v>2024</v>
      </c>
      <c r="E58" s="3">
        <f t="shared" ca="1" si="0"/>
        <v>2025</v>
      </c>
      <c r="F58" s="3">
        <f t="shared" ca="1" si="0"/>
        <v>2026</v>
      </c>
      <c r="G58" s="3">
        <f t="shared" ca="1" si="0"/>
        <v>2027</v>
      </c>
      <c r="H58" s="3">
        <f t="shared" ca="1" si="0"/>
        <v>2028</v>
      </c>
      <c r="I58" s="3">
        <f t="shared" ca="1" si="0"/>
        <v>2029</v>
      </c>
      <c r="J58" s="3">
        <f t="shared" ca="1" si="0"/>
        <v>2030</v>
      </c>
      <c r="K58" s="3">
        <f t="shared" ca="1" si="0"/>
        <v>2031</v>
      </c>
    </row>
    <row r="59" spans="1:13" ht="14.25" customHeight="1">
      <c r="A59" s="1" t="s">
        <v>84</v>
      </c>
      <c r="B59" s="10">
        <f ca="1">IF($B$56="No",Calculations!C29,Calculations!C20)</f>
        <v>0</v>
      </c>
      <c r="C59" s="10">
        <f ca="1">IF($B$56="No",Calculations!D29,Calculations!D20)</f>
        <v>0</v>
      </c>
      <c r="D59" s="10">
        <f ca="1">IF($B$56="No",Calculations!E29,Calculations!E20)</f>
        <v>0</v>
      </c>
      <c r="E59" s="10">
        <f ca="1">IF($B$56="No",Calculations!F29,Calculations!F20)</f>
        <v>0</v>
      </c>
      <c r="F59" s="10">
        <f ca="1">IF($B$56="No",Calculations!G29,Calculations!G20)</f>
        <v>0</v>
      </c>
      <c r="G59" s="10">
        <f ca="1">IF($B$56="No",Calculations!H29,Calculations!H20)</f>
        <v>0</v>
      </c>
      <c r="H59" s="10">
        <f ca="1">IF($B$56="No",Calculations!I29,Calculations!I20)</f>
        <v>0</v>
      </c>
      <c r="I59" s="10">
        <f ca="1">IF($B$56="No",Calculations!J29,Calculations!J20)</f>
        <v>0</v>
      </c>
      <c r="J59" s="10">
        <f ca="1">IF($B$56="No",Calculations!K29,Calculations!K20)</f>
        <v>0</v>
      </c>
      <c r="K59" s="10">
        <f ca="1">IF($B$56="No",Calculations!L29,Calculations!L20)</f>
        <v>0</v>
      </c>
    </row>
    <row r="60" spans="1:13">
      <c r="A60" s="23" t="s">
        <v>85</v>
      </c>
      <c r="B60" s="101">
        <f ca="1">B59*$B$39/1000000</f>
        <v>0</v>
      </c>
      <c r="C60" s="101">
        <f t="shared" ref="C60:K60" ca="1" si="1">C59*$B$39/1000000</f>
        <v>0</v>
      </c>
      <c r="D60" s="101">
        <f t="shared" ca="1" si="1"/>
        <v>0</v>
      </c>
      <c r="E60" s="101">
        <f t="shared" ca="1" si="1"/>
        <v>0</v>
      </c>
      <c r="F60" s="101">
        <f t="shared" ca="1" si="1"/>
        <v>0</v>
      </c>
      <c r="G60" s="101">
        <f t="shared" ca="1" si="1"/>
        <v>0</v>
      </c>
      <c r="H60" s="101">
        <f t="shared" ca="1" si="1"/>
        <v>0</v>
      </c>
      <c r="I60" s="101">
        <f t="shared" ca="1" si="1"/>
        <v>0</v>
      </c>
      <c r="J60" s="101">
        <f t="shared" ca="1" si="1"/>
        <v>0</v>
      </c>
      <c r="K60" s="101">
        <f t="shared" ca="1" si="1"/>
        <v>0</v>
      </c>
    </row>
    <row r="61" spans="1:13">
      <c r="A61" s="23" t="s">
        <v>86</v>
      </c>
      <c r="B61" s="103">
        <f ca="1">B60/$B$47*1000000/12</f>
        <v>0</v>
      </c>
      <c r="C61" s="103">
        <f t="shared" ref="C61:K61" ca="1" si="2">C60/$B$47*1000000/12</f>
        <v>0</v>
      </c>
      <c r="D61" s="103">
        <f t="shared" ca="1" si="2"/>
        <v>0</v>
      </c>
      <c r="E61" s="103">
        <f t="shared" ca="1" si="2"/>
        <v>0</v>
      </c>
      <c r="F61" s="103">
        <f t="shared" ca="1" si="2"/>
        <v>0</v>
      </c>
      <c r="G61" s="103">
        <f t="shared" ca="1" si="2"/>
        <v>0</v>
      </c>
      <c r="H61" s="103">
        <f t="shared" ca="1" si="2"/>
        <v>0</v>
      </c>
      <c r="I61" s="103">
        <f t="shared" ca="1" si="2"/>
        <v>0</v>
      </c>
      <c r="J61" s="103">
        <f t="shared" ca="1" si="2"/>
        <v>0</v>
      </c>
      <c r="K61" s="103">
        <f t="shared" ca="1" si="2"/>
        <v>0</v>
      </c>
    </row>
    <row r="62" spans="1:13" ht="14.25" customHeight="1">
      <c r="B62" s="105"/>
      <c r="M62" s="165"/>
    </row>
    <row r="63" spans="1:13">
      <c r="A63" s="1" t="s">
        <v>453</v>
      </c>
    </row>
    <row r="64" spans="1:13" ht="14.25" customHeight="1">
      <c r="A64" s="428" t="s">
        <v>932</v>
      </c>
      <c r="B64" s="429"/>
      <c r="C64" s="429"/>
      <c r="D64" s="429"/>
      <c r="E64" s="429"/>
      <c r="F64" s="429"/>
      <c r="G64" s="429"/>
      <c r="H64" s="429"/>
      <c r="I64" s="429"/>
    </row>
    <row r="65" spans="1:18" ht="14.25" customHeight="1">
      <c r="A65" s="428"/>
      <c r="B65" s="429"/>
      <c r="C65" s="429"/>
      <c r="D65" s="429"/>
      <c r="E65" s="429"/>
      <c r="F65" s="429"/>
      <c r="G65" s="429"/>
      <c r="H65" s="429"/>
      <c r="I65" s="429"/>
    </row>
    <row r="66" spans="1:18">
      <c r="A66" s="431" t="s">
        <v>98</v>
      </c>
      <c r="B66" s="166"/>
      <c r="E66" s="123"/>
      <c r="F66" s="167"/>
      <c r="G66" s="167"/>
      <c r="H66" s="167"/>
      <c r="I66" s="167"/>
      <c r="J66" s="167"/>
      <c r="K66" s="67"/>
    </row>
    <row r="67" spans="1:18" ht="35.25" customHeight="1">
      <c r="A67" s="431"/>
      <c r="B67" s="166"/>
      <c r="C67" s="168"/>
      <c r="E67" s="123"/>
      <c r="F67" s="157"/>
      <c r="G67" s="157"/>
      <c r="H67" s="157"/>
      <c r="I67" s="157"/>
      <c r="J67" s="157"/>
      <c r="K67" s="157"/>
    </row>
    <row r="68" spans="1:18">
      <c r="B68" s="3">
        <f t="shared" ref="B68:K68" ca="1" si="3">B58</f>
        <v>2022</v>
      </c>
      <c r="C68" s="3">
        <f t="shared" ca="1" si="3"/>
        <v>2023</v>
      </c>
      <c r="D68" s="3">
        <f t="shared" ca="1" si="3"/>
        <v>2024</v>
      </c>
      <c r="E68" s="3">
        <f t="shared" ca="1" si="3"/>
        <v>2025</v>
      </c>
      <c r="F68" s="3">
        <f t="shared" ca="1" si="3"/>
        <v>2026</v>
      </c>
      <c r="G68" s="3">
        <f t="shared" ca="1" si="3"/>
        <v>2027</v>
      </c>
      <c r="H68" s="3">
        <f t="shared" ca="1" si="3"/>
        <v>2028</v>
      </c>
      <c r="I68" s="3">
        <f t="shared" ca="1" si="3"/>
        <v>2029</v>
      </c>
      <c r="J68" s="3">
        <f t="shared" ca="1" si="3"/>
        <v>2030</v>
      </c>
      <c r="K68" s="3">
        <f t="shared" ca="1" si="3"/>
        <v>2031</v>
      </c>
      <c r="L68" s="67"/>
      <c r="M68" s="67"/>
    </row>
    <row r="69" spans="1:18" ht="14.25" customHeight="1">
      <c r="A69" t="s">
        <v>84</v>
      </c>
      <c r="B69" s="17">
        <f ca="1">Calculations!C39</f>
        <v>1</v>
      </c>
      <c r="C69" s="10">
        <f ca="1">Calculations!D39</f>
        <v>1</v>
      </c>
      <c r="D69" s="10">
        <f ca="1">Calculations!E39</f>
        <v>1</v>
      </c>
      <c r="E69" s="10">
        <f ca="1">Calculations!F39</f>
        <v>1</v>
      </c>
      <c r="F69" s="10">
        <f ca="1">Calculations!G39</f>
        <v>1</v>
      </c>
      <c r="G69" s="10">
        <f ca="1">Calculations!H39</f>
        <v>1</v>
      </c>
      <c r="H69" s="10">
        <f ca="1">Calculations!I39</f>
        <v>1</v>
      </c>
      <c r="I69" s="10">
        <f ca="1">Calculations!J39</f>
        <v>1</v>
      </c>
      <c r="J69" s="10">
        <f ca="1">Calculations!K39</f>
        <v>1</v>
      </c>
      <c r="K69" s="10">
        <f ca="1">Calculations!L39</f>
        <v>1</v>
      </c>
      <c r="L69" s="167"/>
      <c r="M69" s="167"/>
    </row>
    <row r="70" spans="1:18" ht="14.25" customHeight="1">
      <c r="A70" t="s">
        <v>85</v>
      </c>
      <c r="B70" s="101">
        <f ca="1">B69*$B$39/1000000</f>
        <v>0.4</v>
      </c>
      <c r="C70" s="101">
        <f t="shared" ref="C70:K70" ca="1" si="4">C69*$B$39/1000000</f>
        <v>0.4</v>
      </c>
      <c r="D70" s="101">
        <f t="shared" ca="1" si="4"/>
        <v>0.4</v>
      </c>
      <c r="E70" s="101">
        <f t="shared" ca="1" si="4"/>
        <v>0.4</v>
      </c>
      <c r="F70" s="101">
        <f t="shared" ca="1" si="4"/>
        <v>0.4</v>
      </c>
      <c r="G70" s="101">
        <f t="shared" ca="1" si="4"/>
        <v>0.4</v>
      </c>
      <c r="H70" s="101">
        <f t="shared" ca="1" si="4"/>
        <v>0.4</v>
      </c>
      <c r="I70" s="101">
        <f t="shared" ca="1" si="4"/>
        <v>0.4</v>
      </c>
      <c r="J70" s="101">
        <f t="shared" ca="1" si="4"/>
        <v>0.4</v>
      </c>
      <c r="K70" s="101">
        <f t="shared" ca="1" si="4"/>
        <v>0.4</v>
      </c>
    </row>
    <row r="71" spans="1:18">
      <c r="A71" t="s">
        <v>86</v>
      </c>
      <c r="B71" s="103">
        <f ca="1">B70/$B$47*1000000/12</f>
        <v>0.25641025641025644</v>
      </c>
      <c r="C71" s="103">
        <f t="shared" ref="C71:K71" ca="1" si="5">C70/$B$47*1000000/12</f>
        <v>0.25641025641025644</v>
      </c>
      <c r="D71" s="103">
        <f t="shared" ca="1" si="5"/>
        <v>0.25641025641025644</v>
      </c>
      <c r="E71" s="103">
        <f t="shared" ca="1" si="5"/>
        <v>0.25641025641025644</v>
      </c>
      <c r="F71" s="103">
        <f t="shared" ca="1" si="5"/>
        <v>0.25641025641025644</v>
      </c>
      <c r="G71" s="103">
        <f t="shared" ca="1" si="5"/>
        <v>0.25641025641025644</v>
      </c>
      <c r="H71" s="103">
        <f t="shared" ca="1" si="5"/>
        <v>0.25641025641025644</v>
      </c>
      <c r="I71" s="103">
        <f t="shared" ca="1" si="5"/>
        <v>0.25641025641025644</v>
      </c>
      <c r="J71" s="103">
        <f t="shared" ca="1" si="5"/>
        <v>0.25641025641025644</v>
      </c>
      <c r="K71" s="103">
        <f t="shared" ca="1" si="5"/>
        <v>0.25641025641025644</v>
      </c>
    </row>
    <row r="72" spans="1:18" ht="14.25" customHeight="1">
      <c r="B72" s="105"/>
      <c r="C72" s="105"/>
      <c r="D72" s="105"/>
      <c r="E72" s="105"/>
      <c r="F72" s="105"/>
      <c r="G72" s="105"/>
      <c r="H72" s="105"/>
      <c r="I72" s="105"/>
      <c r="J72" s="105"/>
      <c r="K72" s="105"/>
    </row>
    <row r="74" spans="1:18" ht="14.45" customHeight="1">
      <c r="A74" s="26" t="s">
        <v>97</v>
      </c>
      <c r="N74" s="67"/>
    </row>
    <row r="75" spans="1:18" ht="14.25" customHeight="1">
      <c r="A75" s="115"/>
    </row>
    <row r="76" spans="1:18" ht="14.25" customHeight="1">
      <c r="A76" t="s">
        <v>84</v>
      </c>
      <c r="B76" s="10">
        <v>1</v>
      </c>
      <c r="F76" s="156"/>
    </row>
    <row r="77" spans="1:18" ht="15" customHeight="1">
      <c r="A77" t="s">
        <v>992</v>
      </c>
      <c r="B77" s="169">
        <f>B76*$B$39</f>
        <v>400000</v>
      </c>
      <c r="F77" s="156"/>
      <c r="P77" s="167"/>
      <c r="Q77" s="167"/>
      <c r="R77" s="167"/>
    </row>
    <row r="78" spans="1:18" ht="15.95" customHeight="1">
      <c r="A78" t="s">
        <v>86</v>
      </c>
      <c r="B78" s="103">
        <f>B77/$B$47/12</f>
        <v>0.25641025641025644</v>
      </c>
    </row>
    <row r="79" spans="1:18" ht="15" customHeight="1">
      <c r="B79" s="105"/>
    </row>
    <row r="80" spans="1:18" ht="15" customHeight="1">
      <c r="A80" s="430" t="s">
        <v>109</v>
      </c>
    </row>
    <row r="81" spans="1:10" ht="14.25" customHeight="1">
      <c r="A81" s="430"/>
      <c r="B81" s="170">
        <f ca="1">1-EXP(-IF($E$17=0,$C$17,$E$17))</f>
        <v>0.18231037719845822</v>
      </c>
      <c r="C81" s="166" t="s">
        <v>110</v>
      </c>
    </row>
    <row r="82" spans="1:10">
      <c r="A82" s="171"/>
    </row>
    <row r="83" spans="1:10">
      <c r="A83" s="172"/>
    </row>
    <row r="84" spans="1:10">
      <c r="B84" s="173"/>
      <c r="C84" s="173"/>
      <c r="D84" s="173"/>
      <c r="E84" s="173"/>
      <c r="F84" s="173"/>
      <c r="G84" s="173"/>
      <c r="H84" s="173"/>
      <c r="I84" s="173"/>
      <c r="J84" s="173"/>
    </row>
    <row r="85" spans="1:10">
      <c r="B85" s="174"/>
    </row>
    <row r="86" spans="1:10">
      <c r="G86" s="156"/>
    </row>
  </sheetData>
  <sheetProtection sheet="1" selectLockedCells="1"/>
  <mergeCells count="27">
    <mergeCell ref="G32:H32"/>
    <mergeCell ref="B32:E32"/>
    <mergeCell ref="G34:H34"/>
    <mergeCell ref="G33:H33"/>
    <mergeCell ref="C38:H38"/>
    <mergeCell ref="A64:I65"/>
    <mergeCell ref="A80:A81"/>
    <mergeCell ref="A66:A67"/>
    <mergeCell ref="A52:J53"/>
    <mergeCell ref="B49:C49"/>
    <mergeCell ref="A50:C50"/>
    <mergeCell ref="G26:I26"/>
    <mergeCell ref="G30:H30"/>
    <mergeCell ref="G29:H29"/>
    <mergeCell ref="G31:H31"/>
    <mergeCell ref="B15:D15"/>
    <mergeCell ref="C16:D16"/>
    <mergeCell ref="C17:D17"/>
    <mergeCell ref="A27:E27"/>
    <mergeCell ref="G27:H27"/>
    <mergeCell ref="G28:H28"/>
    <mergeCell ref="C18:D18"/>
    <mergeCell ref="B12:C12"/>
    <mergeCell ref="B23:C23"/>
    <mergeCell ref="B1:C1"/>
    <mergeCell ref="B30:C30"/>
    <mergeCell ref="C31:D31"/>
  </mergeCells>
  <phoneticPr fontId="31" type="noConversion"/>
  <conditionalFormatting sqref="B43">
    <cfRule type="expression" dxfId="1" priority="1">
      <formula>$B$41="Yes"</formula>
    </cfRule>
  </conditionalFormatting>
  <hyperlinks>
    <hyperlink ref="A11" r:id="rId1" xr:uid="{5E2FA09C-4D04-4183-928B-510FC4DD3AA4}"/>
  </hyperlinks>
  <pageMargins left="0.7" right="0.7" top="0.75" bottom="0.75" header="0.3" footer="0.3"/>
  <pageSetup scale="54" fitToHeight="0" orientation="landscape" horizontalDpi="1200" verticalDpi="1200" r:id="rId2"/>
  <headerFooter>
    <oddFooter>&amp;CSubject to Terms of Use
MIT CENTER FOR BIOMEDICAL INNOVATION
NEWDIGS/FoCUS</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'Hidden Drop Down Lists'!$A$23:$A$24</xm:f>
          </x14:formula1>
          <xm:sqref>E66:E67</xm:sqref>
        </x14:dataValidation>
        <x14:dataValidation type="list" allowBlank="1" showInputMessage="1" showErrorMessage="1" xr:uid="{00000000-0002-0000-0700-000001000000}">
          <x14:formula1>
            <xm:f>'Hidden Drop Down Lists'!$A$5:$A$6</xm:f>
          </x14:formula1>
          <xm:sqref>B56 B41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O120"/>
  <sheetViews>
    <sheetView showGridLines="0" workbookViewId="0">
      <selection activeCell="M88" sqref="M88"/>
    </sheetView>
  </sheetViews>
  <sheetFormatPr defaultColWidth="9.140625" defaultRowHeight="15"/>
  <cols>
    <col min="1" max="1" width="46.140625" customWidth="1"/>
    <col min="2" max="2" width="21.140625" customWidth="1"/>
    <col min="3" max="3" width="13.85546875" customWidth="1"/>
    <col min="4" max="7" width="14.140625" customWidth="1"/>
    <col min="8" max="8" width="4.42578125" customWidth="1"/>
    <col min="9" max="9" width="14.140625" customWidth="1"/>
    <col min="10" max="10" width="17.42578125" customWidth="1"/>
    <col min="11" max="11" width="14.140625" customWidth="1"/>
  </cols>
  <sheetData>
    <row r="1" spans="1:8" ht="23.25">
      <c r="A1" s="341"/>
      <c r="B1" s="377" t="s">
        <v>34</v>
      </c>
      <c r="C1" s="374"/>
      <c r="D1" s="374"/>
    </row>
    <row r="2" spans="1:8">
      <c r="A2" s="67"/>
    </row>
    <row r="3" spans="1:8">
      <c r="A3" t="s">
        <v>944</v>
      </c>
    </row>
    <row r="4" spans="1:8">
      <c r="A4" t="s">
        <v>319</v>
      </c>
    </row>
    <row r="5" spans="1:8">
      <c r="A5" t="s">
        <v>937</v>
      </c>
    </row>
    <row r="7" spans="1:8">
      <c r="A7" s="92" t="s">
        <v>309</v>
      </c>
    </row>
    <row r="8" spans="1:8">
      <c r="A8" s="92" t="s">
        <v>305</v>
      </c>
    </row>
    <row r="9" spans="1:8">
      <c r="A9" s="92"/>
    </row>
    <row r="10" spans="1:8">
      <c r="A10" s="92" t="s">
        <v>1915</v>
      </c>
    </row>
    <row r="11" spans="1:8">
      <c r="A11" s="357" t="s">
        <v>1925</v>
      </c>
    </row>
    <row r="12" spans="1:8">
      <c r="A12" s="447" t="s">
        <v>938</v>
      </c>
      <c r="B12" s="447"/>
      <c r="C12" s="447"/>
      <c r="D12" s="447"/>
      <c r="E12" s="447"/>
      <c r="F12" s="447"/>
      <c r="G12" s="447"/>
      <c r="H12" s="93"/>
    </row>
    <row r="13" spans="1:8">
      <c r="A13" t="s">
        <v>315</v>
      </c>
      <c r="B13" s="10" t="str">
        <f>'Population Estimator Tool'!B19</f>
        <v>Cancer, solid tumor</v>
      </c>
      <c r="C13" s="448" t="str">
        <f>'Population Estimator Tool'!C19</f>
        <v>Cancer, lung, non-small cell</v>
      </c>
      <c r="D13" s="449"/>
      <c r="E13" s="450"/>
      <c r="F13" s="94" t="str">
        <f>'Population Estimator Tool'!E19</f>
        <v>PSMA</v>
      </c>
    </row>
    <row r="15" spans="1:8">
      <c r="A15" t="s">
        <v>939</v>
      </c>
      <c r="B15" s="95">
        <f ca="1">'Therapy Impact Modeling Tool'!B81</f>
        <v>0.18231037719845822</v>
      </c>
    </row>
    <row r="16" spans="1:8">
      <c r="B16" s="96"/>
    </row>
    <row r="17" spans="1:9">
      <c r="A17" s="67" t="s">
        <v>940</v>
      </c>
      <c r="B17" s="97">
        <f>'Therapy Impact Modeling Tool'!B78</f>
        <v>0.25641025641025644</v>
      </c>
      <c r="I17" t="s">
        <v>1856</v>
      </c>
    </row>
    <row r="18" spans="1:9">
      <c r="A18" s="67"/>
      <c r="B18" s="98"/>
    </row>
    <row r="19" spans="1:9">
      <c r="A19" s="99" t="s">
        <v>941</v>
      </c>
      <c r="B19" s="98"/>
    </row>
    <row r="20" spans="1:9">
      <c r="A20" s="100"/>
      <c r="B20" s="2">
        <f ca="1">'Therapy Impact Modeling Tool'!B58</f>
        <v>2022</v>
      </c>
      <c r="C20" s="2">
        <f ca="1">B20+1</f>
        <v>2023</v>
      </c>
      <c r="D20" s="2">
        <f ca="1">C20+1</f>
        <v>2024</v>
      </c>
      <c r="E20" s="2">
        <f ca="1">D20+1</f>
        <v>2025</v>
      </c>
      <c r="F20" s="2">
        <f ca="1">E20+1</f>
        <v>2026</v>
      </c>
    </row>
    <row r="21" spans="1:9">
      <c r="A21" s="100" t="s">
        <v>991</v>
      </c>
      <c r="B21" s="101">
        <f ca="1">Calculations!C20*'Therapy Impact Modeling Tool'!$B$39/1000000</f>
        <v>0</v>
      </c>
      <c r="C21" s="101">
        <f ca="1">Calculations!D20*'Therapy Impact Modeling Tool'!$B$39/1000000</f>
        <v>0</v>
      </c>
      <c r="D21" s="101">
        <f ca="1">Calculations!E20*'Therapy Impact Modeling Tool'!$B$39/1000000</f>
        <v>0</v>
      </c>
      <c r="E21" s="101">
        <f ca="1">Calculations!F20*'Therapy Impact Modeling Tool'!$B$39/1000000</f>
        <v>0</v>
      </c>
      <c r="F21" s="101">
        <f ca="1">Calculations!G20*'Therapy Impact Modeling Tool'!$B$39/1000000</f>
        <v>0</v>
      </c>
      <c r="G21" s="102"/>
    </row>
    <row r="22" spans="1:9">
      <c r="A22" s="100" t="s">
        <v>942</v>
      </c>
      <c r="B22" s="103">
        <f ca="1">B21/'Therapy Impact Modeling Tool'!$B$47*1000000/12</f>
        <v>0</v>
      </c>
      <c r="C22" s="103">
        <f ca="1">C21/'Therapy Impact Modeling Tool'!$B$47*1000000/12</f>
        <v>0</v>
      </c>
      <c r="D22" s="103">
        <f ca="1">D21/'Therapy Impact Modeling Tool'!$B$47*1000000/12</f>
        <v>0</v>
      </c>
      <c r="E22" s="103">
        <f ca="1">E21/'Therapy Impact Modeling Tool'!$B$47*1000000/12</f>
        <v>0</v>
      </c>
      <c r="F22" s="103">
        <f ca="1">F21/'Therapy Impact Modeling Tool'!$B$47*1000000/12</f>
        <v>0</v>
      </c>
      <c r="G22" s="104"/>
    </row>
    <row r="23" spans="1:9">
      <c r="A23" s="100"/>
      <c r="B23" s="105"/>
      <c r="C23" s="105"/>
      <c r="D23" s="105"/>
      <c r="E23" s="105"/>
      <c r="F23" s="105"/>
      <c r="G23" s="105"/>
    </row>
    <row r="24" spans="1:9" ht="15.75">
      <c r="A24" s="106" t="s">
        <v>1891</v>
      </c>
      <c r="B24" s="105"/>
      <c r="D24" s="105"/>
      <c r="E24" s="100" t="s">
        <v>943</v>
      </c>
      <c r="F24" s="105"/>
      <c r="G24" s="105"/>
    </row>
    <row r="25" spans="1:9">
      <c r="A25" s="107"/>
      <c r="B25" s="2">
        <f ca="1">B20</f>
        <v>2022</v>
      </c>
      <c r="C25" s="2">
        <f ca="1">C20</f>
        <v>2023</v>
      </c>
      <c r="D25" s="2">
        <f ca="1">D20</f>
        <v>2024</v>
      </c>
      <c r="E25" s="2">
        <f ca="1">E20</f>
        <v>2025</v>
      </c>
      <c r="F25" s="2">
        <f ca="1">F20</f>
        <v>2026</v>
      </c>
    </row>
    <row r="26" spans="1:9">
      <c r="A26" s="100" t="s">
        <v>991</v>
      </c>
      <c r="B26" s="108">
        <f ca="1">Calculations!C39*'Therapy Impact Modeling Tool'!$B$39/1000000</f>
        <v>0.4</v>
      </c>
      <c r="C26" s="108">
        <f ca="1">Calculations!D39*'Therapy Impact Modeling Tool'!$B$39/1000000</f>
        <v>0.4</v>
      </c>
      <c r="D26" s="108">
        <f ca="1">Calculations!E39*'Therapy Impact Modeling Tool'!$B$39/1000000</f>
        <v>0.4</v>
      </c>
      <c r="E26" s="108">
        <f ca="1">Calculations!F39*'Therapy Impact Modeling Tool'!$B$39/1000000</f>
        <v>0.4</v>
      </c>
      <c r="F26" s="108">
        <f ca="1">Calculations!G39*'Therapy Impact Modeling Tool'!$B$39/1000000</f>
        <v>0.4</v>
      </c>
      <c r="G26" s="109"/>
    </row>
    <row r="27" spans="1:9">
      <c r="A27" s="100" t="s">
        <v>942</v>
      </c>
      <c r="B27" s="110">
        <f ca="1">B26/'Therapy Impact Modeling Tool'!$B$47*1000000/12</f>
        <v>0.25641025641025644</v>
      </c>
      <c r="C27" s="110">
        <f ca="1">C26/'Therapy Impact Modeling Tool'!$B$47*1000000/12</f>
        <v>0.25641025641025644</v>
      </c>
      <c r="D27" s="110">
        <f ca="1">D26/'Therapy Impact Modeling Tool'!$B$47*1000000/12</f>
        <v>0.25641025641025644</v>
      </c>
      <c r="E27" s="110">
        <f ca="1">E26/'Therapy Impact Modeling Tool'!$B$47*1000000/12</f>
        <v>0.25641025641025644</v>
      </c>
      <c r="F27" s="110">
        <f ca="1">F26/'Therapy Impact Modeling Tool'!$B$47*1000000/12</f>
        <v>0.25641025641025644</v>
      </c>
      <c r="G27" s="111"/>
    </row>
    <row r="29" spans="1:9">
      <c r="A29" s="92"/>
    </row>
    <row r="30" spans="1:9">
      <c r="A30" s="451" t="s">
        <v>949</v>
      </c>
      <c r="B30" s="451"/>
      <c r="C30" s="451"/>
      <c r="D30" s="451"/>
      <c r="E30" s="451"/>
      <c r="F30" s="451"/>
      <c r="G30" s="451"/>
      <c r="H30" s="451"/>
    </row>
    <row r="31" spans="1:9">
      <c r="A31" s="112" t="s">
        <v>1007</v>
      </c>
      <c r="B31" s="1"/>
    </row>
    <row r="32" spans="1:9">
      <c r="A32" s="113" t="s">
        <v>11</v>
      </c>
      <c r="B32" s="2"/>
    </row>
    <row r="33" spans="1:5">
      <c r="A33" s="114" t="s">
        <v>456</v>
      </c>
      <c r="B33" s="2"/>
    </row>
    <row r="34" spans="1:5">
      <c r="A34" s="115" t="s">
        <v>457</v>
      </c>
      <c r="B34" s="2"/>
    </row>
    <row r="35" spans="1:5">
      <c r="A35" s="115" t="s">
        <v>458</v>
      </c>
      <c r="B35" s="2"/>
    </row>
    <row r="36" spans="1:5">
      <c r="A36" s="113"/>
      <c r="B36" s="2"/>
    </row>
    <row r="37" spans="1:5" ht="41.25" customHeight="1">
      <c r="A37" s="453" t="s">
        <v>318</v>
      </c>
      <c r="B37" s="453"/>
      <c r="C37" s="453"/>
      <c r="D37" s="339" t="s">
        <v>89</v>
      </c>
      <c r="E37" s="116" t="s">
        <v>193</v>
      </c>
    </row>
    <row r="38" spans="1:5" ht="35.25" customHeight="1">
      <c r="A38" s="453" t="s">
        <v>310</v>
      </c>
      <c r="B38" s="453"/>
      <c r="C38" s="453"/>
      <c r="D38" s="339" t="s">
        <v>89</v>
      </c>
      <c r="E38" s="116" t="s">
        <v>193</v>
      </c>
    </row>
    <row r="39" spans="1:5">
      <c r="A39" s="117"/>
      <c r="B39" s="2"/>
    </row>
    <row r="40" spans="1:5">
      <c r="A40" s="113" t="s">
        <v>192</v>
      </c>
      <c r="B40" s="2"/>
    </row>
    <row r="41" spans="1:5">
      <c r="A41" s="114" t="s">
        <v>459</v>
      </c>
      <c r="B41" s="2"/>
    </row>
    <row r="42" spans="1:5">
      <c r="A42" s="114" t="s">
        <v>460</v>
      </c>
      <c r="B42" s="2"/>
    </row>
    <row r="43" spans="1:5">
      <c r="A43" s="114" t="s">
        <v>945</v>
      </c>
      <c r="B43" s="2"/>
    </row>
    <row r="44" spans="1:5">
      <c r="A44" s="115" t="s">
        <v>946</v>
      </c>
      <c r="B44" s="2"/>
    </row>
    <row r="45" spans="1:5">
      <c r="A45" s="113"/>
      <c r="B45" s="2"/>
    </row>
    <row r="46" spans="1:5" ht="35.25" customHeight="1">
      <c r="A46" s="453" t="s">
        <v>324</v>
      </c>
      <c r="B46" s="453"/>
      <c r="C46" s="453"/>
      <c r="D46" s="339" t="s">
        <v>88</v>
      </c>
      <c r="E46" s="116" t="s">
        <v>193</v>
      </c>
    </row>
    <row r="47" spans="1:5" ht="35.25" customHeight="1">
      <c r="A47" s="453" t="s">
        <v>194</v>
      </c>
      <c r="B47" s="453"/>
      <c r="C47" s="453"/>
      <c r="D47" s="339" t="s">
        <v>89</v>
      </c>
      <c r="E47" s="116" t="s">
        <v>193</v>
      </c>
    </row>
    <row r="48" spans="1:5">
      <c r="A48" s="1"/>
      <c r="B48" s="3"/>
    </row>
    <row r="49" spans="1:15">
      <c r="A49" s="113" t="s">
        <v>13</v>
      </c>
      <c r="B49" s="2"/>
      <c r="D49" s="118"/>
    </row>
    <row r="50" spans="1:15">
      <c r="A50" s="114" t="s">
        <v>947</v>
      </c>
      <c r="B50" s="2"/>
      <c r="D50" s="118"/>
    </row>
    <row r="51" spans="1:15">
      <c r="A51" s="115" t="s">
        <v>1046</v>
      </c>
      <c r="B51" s="2"/>
      <c r="D51" s="118"/>
    </row>
    <row r="52" spans="1:15">
      <c r="A52" s="115" t="s">
        <v>948</v>
      </c>
      <c r="B52" s="2"/>
      <c r="D52" s="118"/>
    </row>
    <row r="53" spans="1:15">
      <c r="A53" s="115"/>
      <c r="B53" s="2"/>
      <c r="D53" s="118"/>
    </row>
    <row r="54" spans="1:15" ht="14.25" customHeight="1">
      <c r="A54" s="454" t="s">
        <v>307</v>
      </c>
      <c r="B54" s="454"/>
      <c r="C54" s="454"/>
      <c r="D54" s="339" t="s">
        <v>88</v>
      </c>
      <c r="E54" s="116" t="s">
        <v>193</v>
      </c>
    </row>
    <row r="55" spans="1:15">
      <c r="A55" s="119"/>
      <c r="B55" s="2"/>
    </row>
    <row r="56" spans="1:15">
      <c r="A56" s="452" t="s">
        <v>950</v>
      </c>
      <c r="B56" s="452"/>
      <c r="C56" s="452"/>
      <c r="D56" s="452"/>
      <c r="E56" s="452"/>
      <c r="F56" s="452"/>
      <c r="G56" s="452"/>
      <c r="H56" s="452"/>
    </row>
    <row r="57" spans="1:15" ht="17.25" customHeight="1">
      <c r="A57" s="337" t="s">
        <v>1008</v>
      </c>
      <c r="B57" s="120"/>
      <c r="C57" s="120"/>
      <c r="D57" s="120"/>
      <c r="E57" s="120"/>
      <c r="F57" s="120"/>
      <c r="G57" s="120"/>
      <c r="H57" s="120"/>
    </row>
    <row r="58" spans="1:15" ht="29.25" customHeight="1">
      <c r="A58" s="433" t="s">
        <v>1009</v>
      </c>
      <c r="B58" s="433"/>
      <c r="C58" s="433"/>
      <c r="D58" s="433"/>
      <c r="E58" s="433"/>
      <c r="O58" s="121"/>
    </row>
    <row r="59" spans="1:15" ht="14.25" customHeight="1">
      <c r="I59" s="122"/>
      <c r="J59" s="122"/>
      <c r="K59" s="122"/>
      <c r="L59" s="122"/>
      <c r="M59" s="122"/>
      <c r="N59" s="122"/>
    </row>
    <row r="60" spans="1:15" ht="14.25" customHeight="1">
      <c r="A60" s="457" t="s">
        <v>951</v>
      </c>
      <c r="B60" s="457"/>
      <c r="C60" s="457"/>
      <c r="D60" s="457"/>
      <c r="E60" s="340" t="s">
        <v>89</v>
      </c>
      <c r="H60" s="122"/>
      <c r="I60" s="122"/>
      <c r="J60" s="122"/>
      <c r="K60" s="122"/>
      <c r="L60" s="122"/>
      <c r="M60" s="122"/>
      <c r="N60" s="122"/>
    </row>
    <row r="61" spans="1:15">
      <c r="A61" s="7"/>
      <c r="B61" s="7"/>
      <c r="C61" s="60"/>
      <c r="D61" s="7"/>
      <c r="E61" s="123"/>
      <c r="L61" s="124" t="s">
        <v>88</v>
      </c>
    </row>
    <row r="62" spans="1:15">
      <c r="A62" s="362" t="s">
        <v>1047</v>
      </c>
      <c r="B62" s="362"/>
      <c r="C62" s="362"/>
      <c r="D62" s="362"/>
      <c r="E62" s="340" t="s">
        <v>89</v>
      </c>
    </row>
    <row r="63" spans="1:15">
      <c r="A63" s="7"/>
      <c r="B63" s="7"/>
      <c r="C63" s="60"/>
      <c r="D63" s="7"/>
      <c r="E63" s="123"/>
    </row>
    <row r="64" spans="1:15">
      <c r="A64" s="457" t="s">
        <v>952</v>
      </c>
      <c r="B64" s="457"/>
      <c r="C64" s="457"/>
      <c r="D64" s="457"/>
      <c r="E64" s="340" t="s">
        <v>88</v>
      </c>
    </row>
    <row r="65" spans="1:10">
      <c r="A65" s="125"/>
      <c r="B65" s="125"/>
      <c r="C65" s="125"/>
      <c r="D65" s="125"/>
      <c r="E65" s="123"/>
    </row>
    <row r="66" spans="1:10" ht="18.95" customHeight="1">
      <c r="B66" s="123"/>
      <c r="C66" s="444" t="s">
        <v>1010</v>
      </c>
      <c r="D66" s="445"/>
      <c r="E66" s="445"/>
      <c r="F66" s="445"/>
      <c r="G66" s="446"/>
      <c r="I66" s="455" t="s">
        <v>1018</v>
      </c>
      <c r="J66" s="455"/>
    </row>
    <row r="67" spans="1:10" ht="35.25" customHeight="1" thickBot="1">
      <c r="A67" s="126" t="s">
        <v>953</v>
      </c>
      <c r="B67" s="127"/>
      <c r="C67" s="128" t="s">
        <v>1011</v>
      </c>
      <c r="D67" s="129" t="s">
        <v>1012</v>
      </c>
      <c r="E67" s="129" t="s">
        <v>1013</v>
      </c>
      <c r="F67" s="128" t="s">
        <v>1014</v>
      </c>
      <c r="G67" s="128" t="s">
        <v>1015</v>
      </c>
      <c r="H67" s="130"/>
      <c r="I67" s="455"/>
      <c r="J67" s="455"/>
    </row>
    <row r="68" spans="1:10" ht="15" customHeight="1" thickTop="1">
      <c r="A68" s="358" t="s">
        <v>954</v>
      </c>
      <c r="B68" s="131" t="str">
        <f>IF(AND($E$60="Yes",$E$64="Yes"),"Possible Solution","NA")</f>
        <v>NA</v>
      </c>
      <c r="C68" s="132" t="str">
        <f>IF(B68="Possible Solution","Yes", " ")</f>
        <v xml:space="preserve"> </v>
      </c>
      <c r="D68" s="132" t="str">
        <f>IF(B68="Possible Solution","Yes", " ")</f>
        <v xml:space="preserve"> </v>
      </c>
      <c r="E68" s="132" t="str">
        <f>IF(B68="Possible Solution","Maybe", " ")</f>
        <v xml:space="preserve"> </v>
      </c>
      <c r="F68" s="132"/>
      <c r="G68" s="132" t="str">
        <f>IF(B68="Possible Solution","Maybe", " ")</f>
        <v xml:space="preserve"> </v>
      </c>
      <c r="H68" s="133"/>
      <c r="I68" s="455"/>
      <c r="J68" s="455"/>
    </row>
    <row r="69" spans="1:10" ht="14.25" customHeight="1">
      <c r="A69" s="358" t="s">
        <v>956</v>
      </c>
      <c r="B69" s="134" t="str">
        <f>IF(AND($E$60="Yes",$E$64="Yes"),"Possible Solution","NA")</f>
        <v>NA</v>
      </c>
      <c r="C69" s="135" t="str">
        <f>IF(B69="Possible Solution","Yes", " ")</f>
        <v xml:space="preserve"> </v>
      </c>
      <c r="D69" s="135" t="str">
        <f>IF(B69="Possible Solution","Yes", " ")</f>
        <v xml:space="preserve"> </v>
      </c>
      <c r="E69" s="135" t="str">
        <f>IF(B69="Possible Solution","Maybe", " ")</f>
        <v xml:space="preserve"> </v>
      </c>
      <c r="F69" s="135" t="str">
        <f>IF(B69="Possible Solution","Yes", " ")</f>
        <v xml:space="preserve"> </v>
      </c>
      <c r="G69" s="135" t="str">
        <f>IF(B69="Possible Solution","Maybe", " ")</f>
        <v xml:space="preserve"> </v>
      </c>
      <c r="H69" s="133"/>
      <c r="I69" s="455"/>
      <c r="J69" s="455"/>
    </row>
    <row r="70" spans="1:10" ht="14.25" customHeight="1">
      <c r="A70" t="s">
        <v>957</v>
      </c>
      <c r="B70" s="134" t="str">
        <f>IF(AND(E60="no",E64="yes"),"Possible Solution","NA")</f>
        <v>Possible Solution</v>
      </c>
      <c r="C70" s="135" t="str">
        <f>IF(B70="Possible Solution","Yes", " ")</f>
        <v>Yes</v>
      </c>
      <c r="D70" s="135" t="str">
        <f>IF(B70="Possible Solution","Yes", " ")</f>
        <v>Yes</v>
      </c>
      <c r="E70" s="135" t="str">
        <f>IF(B70="Possible Solution","Maybe", " ")</f>
        <v>Maybe</v>
      </c>
      <c r="F70" s="135" t="str">
        <f>IF(B70="Possible Solution","Yes", " ")</f>
        <v>Yes</v>
      </c>
      <c r="G70" s="135" t="str">
        <f>IF(B70="Possible Solution","Maybe", " ")</f>
        <v>Maybe</v>
      </c>
      <c r="H70" s="133"/>
      <c r="I70" s="455"/>
      <c r="J70" s="455"/>
    </row>
    <row r="71" spans="1:10" ht="14.25" customHeight="1">
      <c r="A71" s="358" t="s">
        <v>1016</v>
      </c>
      <c r="B71" s="134" t="str">
        <f>IF(AND(E60="yes",E64="yes"),"Possible Solution","NA")</f>
        <v>NA</v>
      </c>
      <c r="C71" s="135" t="str">
        <f>IF(B71="Possible Solution","Yes-claims", " ")</f>
        <v xml:space="preserve"> </v>
      </c>
      <c r="D71" s="135" t="str">
        <f>IF(B71="Possible Solution","Yes", " ")</f>
        <v xml:space="preserve"> </v>
      </c>
      <c r="E71" s="135"/>
      <c r="F71" s="136"/>
      <c r="G71" s="136"/>
      <c r="H71" s="133"/>
      <c r="I71" s="455"/>
      <c r="J71" s="455"/>
    </row>
    <row r="72" spans="1:10" ht="14.25" customHeight="1">
      <c r="A72" t="s">
        <v>960</v>
      </c>
      <c r="B72" s="134" t="str">
        <f>IF(AND(E60="no",E64="yes"),"Possible Solution", "NA")</f>
        <v>Possible Solution</v>
      </c>
      <c r="C72" s="135" t="str">
        <f>IF(B72="Possible Solution","Yes-claims", " ")</f>
        <v>Yes-claims</v>
      </c>
      <c r="D72" s="135" t="str">
        <f>IF(B72="Possible Solution","Yes", " ")</f>
        <v>Yes</v>
      </c>
      <c r="E72" s="135" t="str">
        <f>IF(B72="Possible Solution","TBD*", " ")</f>
        <v>TBD*</v>
      </c>
      <c r="F72" s="135" t="str">
        <f>IF(B72="Possible Solution","TBD*", " ")</f>
        <v>TBD*</v>
      </c>
      <c r="G72" s="135" t="str">
        <f>IF(B72="Possible Solution","TBD*", " ")</f>
        <v>TBD*</v>
      </c>
      <c r="H72" s="133"/>
      <c r="I72" s="455"/>
      <c r="J72" s="455"/>
    </row>
    <row r="73" spans="1:10" ht="14.25" customHeight="1">
      <c r="A73" s="358" t="s">
        <v>961</v>
      </c>
      <c r="B73" s="134" t="str">
        <f>IF(AND($E$60="no",$E$64="No"),"Possible Solution","NA")</f>
        <v>NA</v>
      </c>
      <c r="C73" s="135"/>
      <c r="D73" s="135"/>
      <c r="E73" s="135"/>
      <c r="F73" s="136"/>
      <c r="G73" s="135" t="str">
        <f>IF(B73="Possible Solution","Yes", " ")</f>
        <v xml:space="preserve"> </v>
      </c>
      <c r="H73" s="133"/>
      <c r="I73" s="455"/>
      <c r="J73" s="455"/>
    </row>
    <row r="74" spans="1:10" ht="14.25" customHeight="1">
      <c r="A74" s="358" t="s">
        <v>963</v>
      </c>
      <c r="B74" s="134" t="str">
        <f>IF(AND(E60="no",E64="yes"),"Possible Solution","NA")</f>
        <v>Possible Solution</v>
      </c>
      <c r="C74" s="135" t="str">
        <f>IF(B74="Possible Solution","Yes", " ")</f>
        <v>Yes</v>
      </c>
      <c r="D74" s="135" t="str">
        <f>IF(B74="Possible Solution","Yes", " ")</f>
        <v>Yes</v>
      </c>
      <c r="E74" s="135" t="str">
        <f>IF(B74="Possible Solution","Maybe", " ")</f>
        <v>Maybe</v>
      </c>
      <c r="F74" s="135" t="str">
        <f>IF(B74="Possible Solution","Yes", " ")</f>
        <v>Yes</v>
      </c>
      <c r="G74" s="135" t="str">
        <f>IF(B74="Possible Solution","Maybe", " ")</f>
        <v>Maybe</v>
      </c>
      <c r="H74" s="133"/>
      <c r="I74" s="137"/>
      <c r="J74" s="137"/>
    </row>
    <row r="75" spans="1:10" ht="14.25" customHeight="1">
      <c r="A75" s="358" t="s">
        <v>965</v>
      </c>
      <c r="B75" s="134" t="str">
        <f>IF(AND($E$60="no",E62="Yes",$E$64="No"),"Possible Solution","NA")</f>
        <v>NA</v>
      </c>
      <c r="C75" s="135"/>
      <c r="D75" s="135" t="str">
        <f>IF(B75="Possible Solution","Yes", " ")</f>
        <v xml:space="preserve"> </v>
      </c>
      <c r="E75" s="135"/>
      <c r="F75" s="136"/>
      <c r="G75" s="135" t="str">
        <f>IF(B75="Possible Solution","Maybe", " ")</f>
        <v xml:space="preserve"> </v>
      </c>
      <c r="H75" s="133"/>
      <c r="I75" s="456" t="s">
        <v>1019</v>
      </c>
      <c r="J75" s="456"/>
    </row>
    <row r="76" spans="1:10" ht="15" customHeight="1">
      <c r="A76" t="s">
        <v>967</v>
      </c>
      <c r="B76" s="138" t="str">
        <f>IF(AND(E60="no",E62="yes",E64="yes"),"Possible Solution","NA")</f>
        <v>NA</v>
      </c>
      <c r="C76" s="135" t="str">
        <f>IF(B76="Possible Solution","Yes", " ")</f>
        <v xml:space="preserve"> </v>
      </c>
      <c r="D76" s="135" t="str">
        <f>IF(B76="Possible Solution","Yes", " ")</f>
        <v xml:space="preserve"> </v>
      </c>
      <c r="E76" s="135" t="str">
        <f>IF(B76="Possible Solution","TBD*", " ")</f>
        <v xml:space="preserve"> </v>
      </c>
      <c r="F76" s="135" t="str">
        <f>IF(B76="Possible Solution","TBD*", " ")</f>
        <v xml:space="preserve"> </v>
      </c>
      <c r="G76" s="135" t="str">
        <f>IF(B76="Possible Solution","Maybe", " ")</f>
        <v xml:space="preserve"> </v>
      </c>
      <c r="H76" s="139"/>
      <c r="I76" s="456"/>
      <c r="J76" s="456"/>
    </row>
    <row r="77" spans="1:10" ht="14.25" customHeight="1">
      <c r="A77" s="358" t="s">
        <v>969</v>
      </c>
      <c r="B77" s="138" t="str">
        <f>IF(AND(+$E$60="no",$E$62="no",E64="no"),"Possible Solution","NA")</f>
        <v>NA</v>
      </c>
      <c r="C77" s="135"/>
      <c r="D77" s="135"/>
      <c r="E77" s="135"/>
      <c r="F77" s="136"/>
      <c r="G77" s="135"/>
      <c r="H77" s="139"/>
      <c r="I77" s="456"/>
      <c r="J77" s="456"/>
    </row>
    <row r="78" spans="1:10" ht="14.25" customHeight="1">
      <c r="A78" t="s">
        <v>971</v>
      </c>
      <c r="B78" s="138" t="str">
        <f>IF(AND($E$60="no",$E$62="No",$E$64="yes"),"Possible Solution","NA")</f>
        <v>Possible Solution</v>
      </c>
      <c r="C78" s="135" t="str">
        <f>IF(B78="Possible Solution","Yes", " ")</f>
        <v>Yes</v>
      </c>
      <c r="D78" s="135" t="str">
        <f>IF(B78="Possible Solution","Yes", " ")</f>
        <v>Yes</v>
      </c>
      <c r="E78" s="135" t="str">
        <f>IF(B78="Possible Solution","TBD*", " ")</f>
        <v>TBD*</v>
      </c>
      <c r="F78" s="135" t="str">
        <f>IF(B78="Possible Solution","TBD*", " ")</f>
        <v>TBD*</v>
      </c>
      <c r="G78" s="135" t="str">
        <f>IF(B78="Possible Solution","TBD*", " ")</f>
        <v>TBD*</v>
      </c>
      <c r="H78" s="139"/>
      <c r="I78" s="456"/>
      <c r="J78" s="456"/>
    </row>
    <row r="79" spans="1:10" ht="14.25" customHeight="1">
      <c r="A79" s="358"/>
      <c r="B79" s="138" t="str">
        <f>IF(AND(+$E$60="no",$E$62="no",E64="no"),"Possible Solution","NA")</f>
        <v>NA</v>
      </c>
      <c r="C79" s="135"/>
      <c r="D79" s="135"/>
      <c r="E79" s="135"/>
      <c r="F79" s="136"/>
      <c r="G79" s="135"/>
      <c r="H79" s="139"/>
      <c r="I79" s="456"/>
      <c r="J79" s="456"/>
    </row>
    <row r="80" spans="1:10" ht="14.25" customHeight="1">
      <c r="A80" t="s">
        <v>973</v>
      </c>
      <c r="B80" s="138" t="str">
        <f>IF(AND($E$60="no",$E$62="No",$E$64="yes"),"Possible Solution","NA")</f>
        <v>Possible Solution</v>
      </c>
      <c r="C80" s="135" t="str">
        <f>IF(B80="Possible Solution","Yes", " ")</f>
        <v>Yes</v>
      </c>
      <c r="D80" s="135" t="str">
        <f>IF(B80="Possible Solution","Yes", " ")</f>
        <v>Yes</v>
      </c>
      <c r="E80" s="135" t="str">
        <f>IF(B80="Possible Solution","TBD*", " ")</f>
        <v>TBD*</v>
      </c>
      <c r="F80" s="135" t="str">
        <f>IF(B80="Possible Solution","TBD*", " ")</f>
        <v>TBD*</v>
      </c>
      <c r="G80" s="135" t="str">
        <f>IF(B80="Possible Solution","TBD*", " ")</f>
        <v>TBD*</v>
      </c>
      <c r="H80" s="139"/>
      <c r="I80" s="140"/>
      <c r="J80" s="140"/>
    </row>
    <row r="81" spans="1:10">
      <c r="B81" s="141"/>
      <c r="D81" s="2"/>
      <c r="E81" s="2"/>
      <c r="H81" s="142"/>
      <c r="I81" s="358" t="s">
        <v>1020</v>
      </c>
      <c r="J81" s="359"/>
    </row>
    <row r="82" spans="1:10">
      <c r="A82" t="s">
        <v>1017</v>
      </c>
      <c r="B82" s="141"/>
      <c r="D82" s="2"/>
      <c r="E82" s="2"/>
      <c r="H82" s="142"/>
    </row>
    <row r="84" spans="1:10" ht="14.25" customHeight="1">
      <c r="B84" s="141"/>
      <c r="C84" s="143"/>
      <c r="D84" s="2"/>
      <c r="E84" s="433" t="s">
        <v>1042</v>
      </c>
      <c r="F84" s="433"/>
      <c r="G84" s="433"/>
      <c r="H84" s="144"/>
      <c r="I84" s="144"/>
      <c r="J84" s="144"/>
    </row>
    <row r="85" spans="1:10">
      <c r="E85" s="433"/>
      <c r="F85" s="433"/>
      <c r="G85" s="433"/>
      <c r="H85" s="144"/>
      <c r="I85" s="144"/>
      <c r="J85" s="144"/>
    </row>
    <row r="86" spans="1:10">
      <c r="E86" s="433"/>
      <c r="F86" s="433"/>
      <c r="G86" s="433"/>
      <c r="H86" s="144"/>
      <c r="I86" s="144"/>
      <c r="J86" s="144"/>
    </row>
    <row r="87" spans="1:10" ht="15.75">
      <c r="A87" s="145"/>
      <c r="B87" s="145"/>
      <c r="C87" s="145"/>
      <c r="D87" s="145"/>
      <c r="E87" s="144"/>
      <c r="F87" s="144"/>
      <c r="G87" s="144"/>
      <c r="H87" s="144"/>
      <c r="I87" s="144"/>
      <c r="J87" s="144"/>
    </row>
    <row r="88" spans="1:10">
      <c r="B88" s="141"/>
      <c r="C88" s="143"/>
      <c r="D88" s="2"/>
      <c r="E88" s="433" t="s">
        <v>1043</v>
      </c>
      <c r="F88" s="433"/>
      <c r="G88" s="433"/>
    </row>
    <row r="89" spans="1:10">
      <c r="B89" s="141"/>
      <c r="C89" s="143"/>
      <c r="D89" s="2"/>
      <c r="E89" s="433"/>
      <c r="F89" s="433"/>
      <c r="G89" s="433"/>
    </row>
    <row r="90" spans="1:10" ht="14.25" hidden="1" customHeight="1">
      <c r="A90" s="437" t="s">
        <v>136</v>
      </c>
      <c r="B90" s="437"/>
      <c r="C90" s="19"/>
      <c r="D90" s="116" t="s">
        <v>1</v>
      </c>
      <c r="E90" s="433"/>
      <c r="F90" s="433"/>
      <c r="G90" s="433"/>
    </row>
    <row r="91" spans="1:10" ht="14.25" hidden="1" customHeight="1">
      <c r="A91" s="437" t="s">
        <v>137</v>
      </c>
      <c r="B91" s="437"/>
      <c r="C91" s="19"/>
      <c r="D91" s="116" t="s">
        <v>1</v>
      </c>
      <c r="E91" s="433"/>
      <c r="F91" s="433"/>
      <c r="G91" s="433"/>
    </row>
    <row r="92" spans="1:10" ht="14.25" hidden="1" customHeight="1">
      <c r="A92" s="376" t="s">
        <v>142</v>
      </c>
      <c r="B92" s="376"/>
      <c r="C92" s="19"/>
      <c r="D92" s="116" t="s">
        <v>1</v>
      </c>
      <c r="E92" s="433"/>
      <c r="F92" s="433"/>
      <c r="G92" s="433"/>
    </row>
    <row r="93" spans="1:10" ht="27.95" hidden="1" customHeight="1">
      <c r="A93" s="67" t="s">
        <v>153</v>
      </c>
      <c r="B93" s="67"/>
      <c r="C93" s="19"/>
      <c r="D93" s="116" t="s">
        <v>138</v>
      </c>
      <c r="E93" s="433"/>
      <c r="F93" s="433"/>
      <c r="G93" s="433"/>
    </row>
    <row r="94" spans="1:10" ht="14.25" hidden="1" customHeight="1">
      <c r="A94" t="s">
        <v>152</v>
      </c>
      <c r="C94" s="19"/>
      <c r="D94" s="116" t="s">
        <v>1</v>
      </c>
      <c r="E94" s="433"/>
      <c r="F94" s="433"/>
      <c r="G94" s="433"/>
    </row>
    <row r="95" spans="1:10" ht="14.25" hidden="1" customHeight="1">
      <c r="D95" s="116" t="s">
        <v>1</v>
      </c>
      <c r="E95" s="433"/>
      <c r="F95" s="433"/>
      <c r="G95" s="433"/>
    </row>
    <row r="96" spans="1:10" ht="14.25" hidden="1" customHeight="1">
      <c r="A96" t="s">
        <v>126</v>
      </c>
      <c r="D96" s="116" t="s">
        <v>1</v>
      </c>
      <c r="E96" s="433"/>
      <c r="F96" s="433"/>
      <c r="G96" s="433"/>
    </row>
    <row r="97" spans="1:7" ht="14.25" hidden="1" customHeight="1">
      <c r="A97" t="s">
        <v>1044</v>
      </c>
      <c r="D97" s="116" t="s">
        <v>1</v>
      </c>
      <c r="E97" s="433"/>
      <c r="F97" s="433"/>
      <c r="G97" s="433"/>
    </row>
    <row r="98" spans="1:7" ht="14.25" hidden="1" customHeight="1">
      <c r="A98" t="s">
        <v>1045</v>
      </c>
      <c r="E98" s="433"/>
      <c r="F98" s="433"/>
      <c r="G98" s="433"/>
    </row>
    <row r="99" spans="1:7" ht="14.25" hidden="1" customHeight="1">
      <c r="E99" s="433"/>
      <c r="F99" s="433"/>
      <c r="G99" s="433"/>
    </row>
    <row r="100" spans="1:7" ht="14.25" hidden="1" customHeight="1">
      <c r="A100" t="s">
        <v>132</v>
      </c>
      <c r="E100" s="433"/>
      <c r="F100" s="433"/>
      <c r="G100" s="433"/>
    </row>
    <row r="101" spans="1:7" ht="14.25" hidden="1" customHeight="1">
      <c r="E101" s="433"/>
      <c r="F101" s="433"/>
      <c r="G101" s="433"/>
    </row>
    <row r="102" spans="1:7" ht="14.25" hidden="1" customHeight="1">
      <c r="A102" t="s">
        <v>133</v>
      </c>
      <c r="E102" s="433"/>
      <c r="F102" s="433"/>
      <c r="G102" s="433"/>
    </row>
    <row r="103" spans="1:7" ht="14.25" hidden="1" customHeight="1">
      <c r="E103" s="433"/>
      <c r="F103" s="433"/>
      <c r="G103" s="433"/>
    </row>
    <row r="104" spans="1:7">
      <c r="E104" s="433"/>
      <c r="F104" s="433"/>
      <c r="G104" s="433"/>
    </row>
    <row r="105" spans="1:7">
      <c r="E105" s="433"/>
      <c r="F105" s="433"/>
      <c r="G105" s="433"/>
    </row>
    <row r="106" spans="1:7">
      <c r="E106" s="433"/>
      <c r="F106" s="433"/>
      <c r="G106" s="433"/>
    </row>
    <row r="107" spans="1:7">
      <c r="E107" s="433"/>
      <c r="F107" s="433"/>
      <c r="G107" s="433"/>
    </row>
    <row r="108" spans="1:7">
      <c r="E108" s="376"/>
      <c r="F108" s="376"/>
      <c r="G108" s="376"/>
    </row>
    <row r="120" spans="1:10">
      <c r="A120" s="443"/>
      <c r="B120" s="443"/>
      <c r="C120" s="443"/>
      <c r="D120" s="443"/>
      <c r="E120" s="443"/>
      <c r="F120" s="443"/>
      <c r="G120" s="443"/>
      <c r="H120" s="443"/>
      <c r="I120" s="93"/>
      <c r="J120" s="93"/>
    </row>
  </sheetData>
  <sheetProtection sheet="1" selectLockedCells="1"/>
  <mergeCells count="23">
    <mergeCell ref="A54:C54"/>
    <mergeCell ref="I66:J73"/>
    <mergeCell ref="I75:J79"/>
    <mergeCell ref="E84:G86"/>
    <mergeCell ref="A60:D60"/>
    <mergeCell ref="A62:D62"/>
    <mergeCell ref="A64:D64"/>
    <mergeCell ref="B1:D1"/>
    <mergeCell ref="A120:H120"/>
    <mergeCell ref="A90:B90"/>
    <mergeCell ref="A91:B91"/>
    <mergeCell ref="A92:B92"/>
    <mergeCell ref="E88:G108"/>
    <mergeCell ref="A58:E58"/>
    <mergeCell ref="C66:G66"/>
    <mergeCell ref="A12:G12"/>
    <mergeCell ref="C13:E13"/>
    <mergeCell ref="A30:H30"/>
    <mergeCell ref="A56:H56"/>
    <mergeCell ref="A37:C37"/>
    <mergeCell ref="A38:C38"/>
    <mergeCell ref="A46:C46"/>
    <mergeCell ref="A47:C47"/>
  </mergeCells>
  <hyperlinks>
    <hyperlink ref="A123" r:id="rId1" location="mbcontracts" display="Milestone-based contract" xr:uid="{00000000-0004-0000-0800-000000000000}"/>
    <hyperlink ref="A124" r:id="rId2" location="mymbcontracts" display="Multi-year milestone-based contract" xr:uid="{00000000-0004-0000-0800-000001000000}"/>
    <hyperlink ref="A125" r:id="rId3" location="pbannuities" display="Performance-based Annuity" xr:uid="{00000000-0004-0000-0800-000002000000}"/>
    <hyperlink ref="A126" r:id="rId4" location="installment" display="Payment over time/Installment financing" xr:uid="{00000000-0004-0000-0800-000003000000}"/>
    <hyperlink ref="A127" r:id="rId5" location="reinsurance" display="Reinsurance/Stop Loss Insurance" xr:uid="{00000000-0004-0000-0800-000004000000}"/>
    <hyperlink ref="A128" r:id="rId6" location="risk" display="Risk Pool" xr:uid="{00000000-0004-0000-0800-000005000000}"/>
    <hyperlink ref="A129" r:id="rId7" location="orbm" display="Orphan Risk and Benefit Manager (ORBM)" xr:uid="{00000000-0004-0000-0800-000006000000}"/>
    <hyperlink ref="A136" r:id="rId8" location="tracking" display="Outcomes Tracking over Time" xr:uid="{00000000-0004-0000-0800-000007000000}"/>
    <hyperlink ref="A137" r:id="rId9" location="mobility" display="Patient Mobility" xr:uid="{00000000-0004-0000-0800-000008000000}"/>
    <hyperlink ref="A139" r:id="rId10" location="accreditation" display="Provider Certification and/or Centers of Excellence" xr:uid="{00000000-0004-0000-0800-000009000000}"/>
    <hyperlink ref="A140" r:id="rId11" location="oosn" display="Out-of-State Networks" xr:uid="{00000000-0004-0000-0800-00000A000000}"/>
    <hyperlink ref="A142" r:id="rId12" location="bb" display="Buy and Bill" xr:uid="{00000000-0004-0000-0800-00000B000000}"/>
    <hyperlink ref="A143" r:id="rId13" location="provider" display="Provider Financial Implications" xr:uid="{00000000-0004-0000-0800-00000C000000}"/>
    <hyperlink ref="A145" r:id="rId14" location="spa" display="State Plan Amendments" xr:uid="{00000000-0004-0000-0800-00000D000000}"/>
    <hyperlink ref="A146" r:id="rId15" location="patient" display="Patient financial implications" xr:uid="{00000000-0004-0000-0800-00000E000000}"/>
    <hyperlink ref="A68" r:id="rId16" location="mbcontracts" xr:uid="{4F03D432-EC41-8C4B-AD60-92248FA9C992}"/>
    <hyperlink ref="A69" r:id="rId17" location="mymbcontracts" xr:uid="{DC6AD1FD-EB32-EF4C-A103-8CC581ACE3BC}"/>
    <hyperlink ref="A71" r:id="rId18" location="warranty" xr:uid="{B780AD95-0266-1B44-98A6-BB977083C389}"/>
    <hyperlink ref="A73" r:id="rId19" location="installment" xr:uid="{FB991179-F6E6-484A-B566-7357B49ED7A9}"/>
    <hyperlink ref="A74" r:id="rId20" location="pbannuities" xr:uid="{6CED4F35-1D57-E641-B2F3-D30011F4D53C}"/>
    <hyperlink ref="A75" r:id="rId21" location="subscription" xr:uid="{3B2D0EAD-FD26-7043-9406-0FE0EA0CA71F}"/>
    <hyperlink ref="A77" r:id="rId22" location="reinsurance" xr:uid="{CE72525A-6E2C-F04C-B922-8F703D216E6A}"/>
    <hyperlink ref="I81" r:id="rId23" xr:uid="{9C61F0D7-7FD3-DF49-AD98-6C26A442D8F9}"/>
    <hyperlink ref="A11" r:id="rId24" xr:uid="{3A96B00A-A8B3-7342-9790-75EF12DFF2E5}"/>
  </hyperlinks>
  <pageMargins left="0.7" right="0.7" top="0.75" bottom="0.75" header="0.3" footer="0.3"/>
  <pageSetup scale="56" fitToHeight="0" orientation="landscape" horizontalDpi="1200" verticalDpi="1200" r:id="rId25"/>
  <headerFooter>
    <oddFooter>&amp;CSubject to Terms of Use
MIT CENTER FOR BIOMEDICAL INNOVATION
NEWDIGS/FoCUS</oddFooter>
  </headerFooter>
  <rowBreaks count="2" manualBreakCount="2">
    <brk id="75" max="10" man="1"/>
    <brk id="110" max="10" man="1"/>
  </rowBreaks>
  <drawing r:id="rId2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'\Users\ericnorman\Library\Containers\com.microsoft.Excel\Data\Documents\C:\Users\karengeary\Downloads\[PayerAssessIndivIndic-unprotected_10-6-21_cmy_Karen-V3.xlsm]Hidden Drop Down Lists'!#REF!</xm:f>
          </x14:formula1>
          <xm:sqref>C87:C94</xm:sqref>
        </x14:dataValidation>
        <x14:dataValidation type="list" allowBlank="1" showInputMessage="1" showErrorMessage="1" xr:uid="{00000000-0002-0000-0800-000002000000}">
          <x14:formula1>
            <xm:f>'Hidden Drop Down Lists'!$A$5:$A$6</xm:f>
          </x14:formula1>
          <xm:sqref>D37:D38 D46:D47 D54 E62 E64 E60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BA46-3CCF-4E43-98C6-30F74F9768FC}">
  <sheetPr codeName="Sheet16"/>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00"/>
  <sheetViews>
    <sheetView workbookViewId="0">
      <selection activeCell="B5" sqref="B5"/>
    </sheetView>
  </sheetViews>
  <sheetFormatPr defaultColWidth="8.85546875" defaultRowHeight="15"/>
  <cols>
    <col min="1" max="1" width="2.42578125" customWidth="1"/>
    <col min="2" max="2" width="28.42578125" customWidth="1"/>
    <col min="3" max="3" width="2.42578125" customWidth="1"/>
    <col min="8" max="8" width="2.42578125" customWidth="1"/>
    <col min="10" max="10" width="10.42578125" customWidth="1"/>
    <col min="15" max="15" width="2.42578125" customWidth="1"/>
    <col min="16" max="17" width="8.85546875" style="2"/>
  </cols>
  <sheetData>
    <row r="1" spans="2:17">
      <c r="B1" s="34" t="s">
        <v>293</v>
      </c>
      <c r="D1" s="35" t="s">
        <v>294</v>
      </c>
      <c r="E1" s="36"/>
      <c r="F1" s="37"/>
      <c r="I1" s="35" t="s">
        <v>294</v>
      </c>
      <c r="J1" s="36"/>
      <c r="K1" s="37"/>
    </row>
    <row r="2" spans="2:17">
      <c r="B2" s="38" t="s">
        <v>295</v>
      </c>
      <c r="D2" s="39" t="s">
        <v>1069</v>
      </c>
      <c r="E2" s="15"/>
      <c r="F2" s="40"/>
      <c r="I2" s="39" t="s">
        <v>296</v>
      </c>
      <c r="J2" s="15"/>
      <c r="K2" s="40"/>
      <c r="P2" s="2" t="s">
        <v>1692</v>
      </c>
      <c r="Q2" s="2">
        <v>1</v>
      </c>
    </row>
    <row r="3" spans="2:17">
      <c r="B3" s="41" t="s">
        <v>297</v>
      </c>
      <c r="P3" s="2" t="s">
        <v>1693</v>
      </c>
      <c r="Q3" s="2">
        <v>2</v>
      </c>
    </row>
    <row r="4" spans="2:17">
      <c r="B4" t="s">
        <v>298</v>
      </c>
      <c r="D4" s="42" t="s">
        <v>299</v>
      </c>
      <c r="I4" t="s">
        <v>311</v>
      </c>
      <c r="K4">
        <f>MATCH('Population Estimator Tool'!B19,'Therapeutic Classes - Diseases'!B4:B13,0)</f>
        <v>2</v>
      </c>
      <c r="P4" s="2" t="s">
        <v>1694</v>
      </c>
      <c r="Q4" s="2">
        <v>3</v>
      </c>
    </row>
    <row r="5" spans="2:17">
      <c r="B5" t="str">
        <f ca="1">IF(ROW('PET Menu Driver'!B5)-5&gt;'PET Menu Driver'!$D$11-'PET Menu Driver'!$D$10,"",INDIRECT('PET Menu Driver'!$D$6&amp;"E"&amp;'PET Menu Driver'!$D$10+ROW('PET Menu Driver'!B5)-5))</f>
        <v>CEA</v>
      </c>
      <c r="D5" s="7"/>
      <c r="P5" s="2" t="s">
        <v>1052</v>
      </c>
      <c r="Q5" s="2">
        <v>4</v>
      </c>
    </row>
    <row r="6" spans="2:17">
      <c r="B6" t="str">
        <f ca="1">IF(ROW('PET Menu Driver'!B6)-5&gt;'PET Menu Driver'!$D$11-'PET Menu Driver'!$D$10,"",INDIRECT('PET Menu Driver'!$D$6&amp;"E"&amp;'PET Menu Driver'!$D$10+ROW('PET Menu Driver'!B6)-5))</f>
        <v>IL-15+PD-L1</v>
      </c>
      <c r="D6" s="42" t="s">
        <v>300</v>
      </c>
      <c r="I6" t="s">
        <v>1064</v>
      </c>
      <c r="K6" s="2" t="str">
        <f>INDEX(P:P,MATCH(MATCH('Population Estimator Tool'!B19,'Therapeutic Classes - Diseases'!2:2,0),Q:Q,0),1)</f>
        <v>E</v>
      </c>
      <c r="P6" s="2" t="s">
        <v>1053</v>
      </c>
      <c r="Q6" s="2">
        <v>5</v>
      </c>
    </row>
    <row r="7" spans="2:17">
      <c r="B7" t="str">
        <f ca="1">IF(ROW('PET Menu Driver'!B7)-5&gt;'PET Menu Driver'!$D$11-'PET Menu Driver'!$D$10,"",INDIRECT('PET Menu Driver'!$D$6&amp;"E"&amp;'PET Menu Driver'!$D$10+ROW('PET Menu Driver'!B7)-5))</f>
        <v>KRASG12V</v>
      </c>
      <c r="I7" t="s">
        <v>1065</v>
      </c>
      <c r="K7" s="2" t="str">
        <f>K6&amp;3</f>
        <v>E3</v>
      </c>
      <c r="P7" s="2" t="s">
        <v>1054</v>
      </c>
      <c r="Q7" s="2">
        <v>6</v>
      </c>
    </row>
    <row r="8" spans="2:17">
      <c r="B8" t="str">
        <f ca="1">IF(ROW('PET Menu Driver'!B8)-5&gt;'PET Menu Driver'!$D$11-'PET Menu Driver'!$D$10,"",INDIRECT('PET Menu Driver'!$D$6&amp;"E"&amp;'PET Menu Driver'!$D$10+ROW('PET Menu Driver'!B8)-5))</f>
        <v>MAGE-A1</v>
      </c>
      <c r="D8" s="42" t="s">
        <v>2105</v>
      </c>
      <c r="I8" t="s">
        <v>1063</v>
      </c>
      <c r="K8" s="2">
        <f ca="1">INDIRECT(D4&amp;K6&amp;1)</f>
        <v>49</v>
      </c>
      <c r="P8" s="2" t="s">
        <v>1055</v>
      </c>
      <c r="Q8" s="2">
        <v>7</v>
      </c>
    </row>
    <row r="9" spans="2:17">
      <c r="B9" t="str">
        <f ca="1">IF(ROW('PET Menu Driver'!B9)-5&gt;'PET Menu Driver'!$D$11-'PET Menu Driver'!$D$10,"",INDIRECT('PET Menu Driver'!$D$6&amp;"E"&amp;'PET Menu Driver'!$D$10+ROW('PET Menu Driver'!B9)-5))</f>
        <v>MAGE-A4</v>
      </c>
      <c r="I9" t="s">
        <v>1066</v>
      </c>
      <c r="K9" s="2" t="str">
        <f ca="1">K6&amp;K8</f>
        <v>E49</v>
      </c>
      <c r="P9" s="2" t="s">
        <v>1056</v>
      </c>
      <c r="Q9" s="2">
        <v>8</v>
      </c>
    </row>
    <row r="10" spans="2:17">
      <c r="B10" t="str">
        <f ca="1">IF(ROW('PET Menu Driver'!B10)-5&gt;'PET Menu Driver'!$D$11-'PET Menu Driver'!$D$10,"",INDIRECT('PET Menu Driver'!$D$6&amp;"E"&amp;'PET Menu Driver'!$D$10+ROW('PET Menu Driver'!B10)-5))</f>
        <v>MAGE-A4+MAGE-A8</v>
      </c>
      <c r="D10" s="7">
        <f>MATCH('Population Estimator Tool'!C19,'Disease - complete'!B:B,0)</f>
        <v>151</v>
      </c>
      <c r="E10" t="s">
        <v>1070</v>
      </c>
      <c r="I10" t="s">
        <v>1067</v>
      </c>
      <c r="K10" s="2" t="str">
        <f ca="1">K7&amp;":"&amp;K9</f>
        <v>E3:E49</v>
      </c>
      <c r="P10" s="2" t="s">
        <v>1057</v>
      </c>
      <c r="Q10" s="2">
        <v>9</v>
      </c>
    </row>
    <row r="11" spans="2:17">
      <c r="B11" t="str">
        <f ca="1">IF(ROW('PET Menu Driver'!B11)-5&gt;'PET Menu Driver'!$D$11-'PET Menu Driver'!$D$10,"",INDIRECT('PET Menu Driver'!$D$6&amp;"E"&amp;'PET Menu Driver'!$D$10+ROW('PET Menu Driver'!B11)-5))</f>
        <v>Mesothelin</v>
      </c>
      <c r="D11" s="7">
        <f ca="1">INDIRECT(D6&amp;"A"&amp;D10)</f>
        <v>162</v>
      </c>
      <c r="E11" t="s">
        <v>1071</v>
      </c>
      <c r="I11" t="s">
        <v>1062</v>
      </c>
      <c r="K11" t="str">
        <f ca="1">D4&amp;K10</f>
        <v>'Therapeutic Classes - Diseases'!E3:E49</v>
      </c>
      <c r="P11" s="2" t="s">
        <v>1058</v>
      </c>
      <c r="Q11" s="2">
        <v>10</v>
      </c>
    </row>
    <row r="12" spans="2:17">
      <c r="B12" t="str">
        <f ca="1">IF(ROW('PET Menu Driver'!B12)-5&gt;'PET Menu Driver'!$D$11-'PET Menu Driver'!$D$10,"",INDIRECT('PET Menu Driver'!$D$6&amp;"E"&amp;'PET Menu Driver'!$D$10+ROW('PET Menu Driver'!B12)-5))</f>
        <v>MUC1</v>
      </c>
      <c r="D12" s="7">
        <f ca="1">D11-D10+1</f>
        <v>12</v>
      </c>
      <c r="E12" t="s">
        <v>1072</v>
      </c>
      <c r="P12" s="2" t="s">
        <v>1059</v>
      </c>
      <c r="Q12" s="2">
        <v>11</v>
      </c>
    </row>
    <row r="13" spans="2:17">
      <c r="B13" t="str">
        <f ca="1">IF(ROW('PET Menu Driver'!B13)-5&gt;'PET Menu Driver'!$D$11-'PET Menu Driver'!$D$10,"",INDIRECT('PET Menu Driver'!$D$6&amp;"E"&amp;'PET Menu Driver'!$D$10+ROW('PET Menu Driver'!B13)-5))</f>
        <v>Neoantigen</v>
      </c>
      <c r="D13" s="7">
        <f ca="1">D10+MATCH('Population Estimator Tool'!E19,'PET Menu Driver'!B:B,0)-5</f>
        <v>161</v>
      </c>
      <c r="E13" t="s">
        <v>985</v>
      </c>
      <c r="F13" s="218">
        <f ca="1">D13-D10+5</f>
        <v>15</v>
      </c>
      <c r="I13" t="s">
        <v>312</v>
      </c>
      <c r="K13" s="2">
        <f ca="1">97-COUNTIF(B4:B100,"")</f>
        <v>13</v>
      </c>
      <c r="P13" s="2" t="s">
        <v>1060</v>
      </c>
      <c r="Q13" s="2">
        <v>12</v>
      </c>
    </row>
    <row r="14" spans="2:17">
      <c r="B14" t="str">
        <f ca="1">IF(ROW('PET Menu Driver'!B14)-5&gt;'PET Menu Driver'!$D$11-'PET Menu Driver'!$D$10,"",INDIRECT('PET Menu Driver'!$D$6&amp;"E"&amp;'PET Menu Driver'!$D$10+ROW('PET Menu Driver'!B14)-5))</f>
        <v>NY-ESO-1</v>
      </c>
      <c r="I14" t="s">
        <v>1068</v>
      </c>
      <c r="K14" s="2" t="str">
        <f ca="1">"b4:b"&amp;K13+3</f>
        <v>b4:b16</v>
      </c>
      <c r="P14" s="2" t="s">
        <v>1061</v>
      </c>
      <c r="Q14" s="2">
        <v>13</v>
      </c>
    </row>
    <row r="15" spans="2:17">
      <c r="B15" t="str">
        <f ca="1">IF(ROW('PET Menu Driver'!B15)-5&gt;'PET Menu Driver'!$D$11-'PET Menu Driver'!$D$10,"",INDIRECT('PET Menu Driver'!$D$6&amp;"E"&amp;'PET Menu Driver'!$D$10+ROW('PET Menu Driver'!B15)-5))</f>
        <v>PSMA</v>
      </c>
      <c r="I15" t="s">
        <v>313</v>
      </c>
      <c r="K15" t="str">
        <f ca="1">D8&amp;K14</f>
        <v>'PET Menu Driver'!b4:b16</v>
      </c>
      <c r="P15" s="2" t="s">
        <v>6</v>
      </c>
      <c r="Q15" s="2">
        <v>14</v>
      </c>
    </row>
    <row r="16" spans="2:17">
      <c r="B16" t="str">
        <f ca="1">IF(ROW('PET Menu Driver'!B16)-5&gt;'PET Menu Driver'!$D$11-'PET Menu Driver'!$D$10,"",INDIRECT('PET Menu Driver'!$D$6&amp;"E"&amp;'PET Menu Driver'!$D$10+ROW('PET Menu Driver'!B16)-5))</f>
        <v>TP53</v>
      </c>
      <c r="P16" s="2" t="s">
        <v>1695</v>
      </c>
      <c r="Q16" s="2">
        <v>15</v>
      </c>
    </row>
    <row r="17" spans="2:17">
      <c r="B17" t="str">
        <f ca="1">IF(ROW('PET Menu Driver'!B17)-5&gt;'PET Menu Driver'!$D$11-'PET Menu Driver'!$D$10,"",INDIRECT('PET Menu Driver'!$D$6&amp;"E"&amp;'PET Menu Driver'!$D$10+ROW('PET Menu Driver'!B17)-5))</f>
        <v/>
      </c>
      <c r="P17" s="2" t="s">
        <v>1696</v>
      </c>
      <c r="Q17" s="2">
        <v>16</v>
      </c>
    </row>
    <row r="18" spans="2:17">
      <c r="B18" t="str">
        <f ca="1">IF(ROW('PET Menu Driver'!B18)-5&gt;'PET Menu Driver'!$D$11-'PET Menu Driver'!$D$10,"",INDIRECT('PET Menu Driver'!$D$6&amp;"E"&amp;'PET Menu Driver'!$D$10+ROW('PET Menu Driver'!B18)-5))</f>
        <v/>
      </c>
      <c r="P18" s="2" t="s">
        <v>1697</v>
      </c>
      <c r="Q18" s="2">
        <v>17</v>
      </c>
    </row>
    <row r="19" spans="2:17">
      <c r="B19" t="str">
        <f ca="1">IF(ROW('PET Menu Driver'!B19)-5&gt;'PET Menu Driver'!$D$11-'PET Menu Driver'!$D$10,"",INDIRECT('PET Menu Driver'!$D$6&amp;"E"&amp;'PET Menu Driver'!$D$10+ROW('PET Menu Driver'!B19)-5))</f>
        <v/>
      </c>
      <c r="P19" s="2" t="s">
        <v>1698</v>
      </c>
      <c r="Q19" s="2">
        <v>18</v>
      </c>
    </row>
    <row r="20" spans="2:17">
      <c r="B20" t="str">
        <f ca="1">IF(ROW('PET Menu Driver'!B20)-5&gt;'PET Menu Driver'!$D$11-'PET Menu Driver'!$D$10,"",INDIRECT('PET Menu Driver'!$D$6&amp;"E"&amp;'PET Menu Driver'!$D$10+ROW('PET Menu Driver'!B20)-5))</f>
        <v/>
      </c>
    </row>
    <row r="21" spans="2:17">
      <c r="B21" t="str">
        <f ca="1">IF(ROW('PET Menu Driver'!B21)-5&gt;'PET Menu Driver'!$D$11-'PET Menu Driver'!$D$10,"",INDIRECT('PET Menu Driver'!$D$6&amp;"E"&amp;'PET Menu Driver'!$D$10+ROW('PET Menu Driver'!B21)-5))</f>
        <v/>
      </c>
    </row>
    <row r="22" spans="2:17">
      <c r="B22" t="str">
        <f ca="1">IF(ROW('PET Menu Driver'!B22)-5&gt;'PET Menu Driver'!$D$11-'PET Menu Driver'!$D$10,"",INDIRECT('PET Menu Driver'!$D$6&amp;"E"&amp;'PET Menu Driver'!$D$10+ROW('PET Menu Driver'!B22)-5))</f>
        <v/>
      </c>
    </row>
    <row r="23" spans="2:17">
      <c r="B23" t="str">
        <f ca="1">IF(ROW('PET Menu Driver'!B23)-5&gt;'PET Menu Driver'!$D$11-'PET Menu Driver'!$D$10,"",INDIRECT('PET Menu Driver'!$D$6&amp;"E"&amp;'PET Menu Driver'!$D$10+ROW('PET Menu Driver'!B23)-5))</f>
        <v/>
      </c>
    </row>
    <row r="24" spans="2:17">
      <c r="B24" t="str">
        <f ca="1">IF(ROW('PET Menu Driver'!B24)-5&gt;'PET Menu Driver'!$D$11-'PET Menu Driver'!$D$10,"",INDIRECT('PET Menu Driver'!$D$6&amp;"E"&amp;'PET Menu Driver'!$D$10+ROW('PET Menu Driver'!B24)-5))</f>
        <v/>
      </c>
    </row>
    <row r="25" spans="2:17">
      <c r="B25" t="str">
        <f ca="1">IF(ROW('PET Menu Driver'!B25)-5&gt;'PET Menu Driver'!$D$11-'PET Menu Driver'!$D$10,"",INDIRECT('PET Menu Driver'!$D$6&amp;"E"&amp;'PET Menu Driver'!$D$10+ROW('PET Menu Driver'!B25)-5))</f>
        <v/>
      </c>
    </row>
    <row r="26" spans="2:17">
      <c r="B26" t="str">
        <f ca="1">IF(ROW('PET Menu Driver'!B26)-5&gt;'PET Menu Driver'!$D$11-'PET Menu Driver'!$D$10,"",INDIRECT('PET Menu Driver'!$D$6&amp;"E"&amp;'PET Menu Driver'!$D$10+ROW('PET Menu Driver'!B26)-5))</f>
        <v/>
      </c>
    </row>
    <row r="27" spans="2:17">
      <c r="B27" t="str">
        <f ca="1">IF(ROW('PET Menu Driver'!B27)-5&gt;'PET Menu Driver'!$D$11-'PET Menu Driver'!$D$10,"",INDIRECT('PET Menu Driver'!$D$6&amp;"E"&amp;'PET Menu Driver'!$D$10+ROW('PET Menu Driver'!B27)-5))</f>
        <v/>
      </c>
    </row>
    <row r="28" spans="2:17">
      <c r="B28" t="str">
        <f ca="1">IF(ROW('PET Menu Driver'!B28)-5&gt;'PET Menu Driver'!$D$11-'PET Menu Driver'!$D$10,"",INDIRECT('PET Menu Driver'!$D$6&amp;"E"&amp;'PET Menu Driver'!$D$10+ROW('PET Menu Driver'!B28)-5))</f>
        <v/>
      </c>
    </row>
    <row r="29" spans="2:17">
      <c r="B29" t="str">
        <f ca="1">IF(ROW('PET Menu Driver'!B29)-5&gt;'PET Menu Driver'!$D$11-'PET Menu Driver'!$D$10,"",INDIRECT('PET Menu Driver'!$D$6&amp;"E"&amp;'PET Menu Driver'!$D$10+ROW('PET Menu Driver'!B29)-5))</f>
        <v/>
      </c>
    </row>
    <row r="30" spans="2:17">
      <c r="B30" t="str">
        <f ca="1">IF(ROW('PET Menu Driver'!B30)-5&gt;'PET Menu Driver'!$D$11-'PET Menu Driver'!$D$10,"",INDIRECT('PET Menu Driver'!$D$6&amp;"E"&amp;'PET Menu Driver'!$D$10+ROW('PET Menu Driver'!B30)-5))</f>
        <v/>
      </c>
    </row>
    <row r="31" spans="2:17">
      <c r="B31" t="str">
        <f ca="1">IF(ROW('PET Menu Driver'!B31)-5&gt;'PET Menu Driver'!$D$11-'PET Menu Driver'!$D$10,"",INDIRECT('PET Menu Driver'!$D$6&amp;"E"&amp;'PET Menu Driver'!$D$10+ROW('PET Menu Driver'!B31)-5))</f>
        <v/>
      </c>
    </row>
    <row r="32" spans="2:17">
      <c r="B32" t="str">
        <f ca="1">IF(ROW('PET Menu Driver'!B32)-5&gt;'PET Menu Driver'!$D$11-'PET Menu Driver'!$D$10,"",INDIRECT('PET Menu Driver'!$D$6&amp;"E"&amp;'PET Menu Driver'!$D$10+ROW('PET Menu Driver'!B32)-5))</f>
        <v/>
      </c>
    </row>
    <row r="33" spans="2:2">
      <c r="B33" t="str">
        <f ca="1">IF(ROW('PET Menu Driver'!B33)-5&gt;'PET Menu Driver'!$D$11-'PET Menu Driver'!$D$10,"",INDIRECT('PET Menu Driver'!$D$6&amp;"E"&amp;'PET Menu Driver'!$D$10+ROW('PET Menu Driver'!B33)-5))</f>
        <v/>
      </c>
    </row>
    <row r="34" spans="2:2">
      <c r="B34" t="str">
        <f ca="1">IF(ROW('PET Menu Driver'!B34)-5&gt;'PET Menu Driver'!$D$11-'PET Menu Driver'!$D$10,"",INDIRECT('PET Menu Driver'!$D$6&amp;"E"&amp;'PET Menu Driver'!$D$10+ROW('PET Menu Driver'!B34)-5))</f>
        <v/>
      </c>
    </row>
    <row r="35" spans="2:2">
      <c r="B35" t="str">
        <f ca="1">IF(ROW('PET Menu Driver'!B35)-5&gt;'PET Menu Driver'!$D$11-'PET Menu Driver'!$D$10,"",INDIRECT('PET Menu Driver'!$D$6&amp;"E"&amp;'PET Menu Driver'!$D$10+ROW('PET Menu Driver'!B35)-5))</f>
        <v/>
      </c>
    </row>
    <row r="36" spans="2:2">
      <c r="B36" t="str">
        <f ca="1">IF(ROW('PET Menu Driver'!B36)-5&gt;'PET Menu Driver'!$D$11-'PET Menu Driver'!$D$10,"",INDIRECT('PET Menu Driver'!$D$6&amp;"E"&amp;'PET Menu Driver'!$D$10+ROW('PET Menu Driver'!B36)-5))</f>
        <v/>
      </c>
    </row>
    <row r="37" spans="2:2">
      <c r="B37" t="str">
        <f ca="1">IF(ROW('PET Menu Driver'!B37)-5&gt;'PET Menu Driver'!$D$11-'PET Menu Driver'!$D$10,"",INDIRECT('PET Menu Driver'!$D$6&amp;"E"&amp;'PET Menu Driver'!$D$10+ROW('PET Menu Driver'!B37)-5))</f>
        <v/>
      </c>
    </row>
    <row r="38" spans="2:2">
      <c r="B38" t="str">
        <f ca="1">IF(ROW('PET Menu Driver'!B38)-5&gt;'PET Menu Driver'!$D$11-'PET Menu Driver'!$D$10,"",INDIRECT('PET Menu Driver'!$D$6&amp;"E"&amp;'PET Menu Driver'!$D$10+ROW('PET Menu Driver'!B38)-5))</f>
        <v/>
      </c>
    </row>
    <row r="39" spans="2:2">
      <c r="B39" t="str">
        <f ca="1">IF(ROW('PET Menu Driver'!B39)-5&gt;'PET Menu Driver'!$D$11-'PET Menu Driver'!$D$10,"",INDIRECT('PET Menu Driver'!$D$6&amp;"E"&amp;'PET Menu Driver'!$D$10+ROW('PET Menu Driver'!B39)-5))</f>
        <v/>
      </c>
    </row>
    <row r="40" spans="2:2">
      <c r="B40" t="str">
        <f ca="1">IF(ROW('PET Menu Driver'!B40)-5&gt;'PET Menu Driver'!$D$11-'PET Menu Driver'!$D$10,"",INDIRECT('PET Menu Driver'!$D$6&amp;"E"&amp;'PET Menu Driver'!$D$10+ROW('PET Menu Driver'!B40)-5))</f>
        <v/>
      </c>
    </row>
    <row r="41" spans="2:2">
      <c r="B41" t="str">
        <f ca="1">IF(ROW('PET Menu Driver'!B41)-5&gt;'PET Menu Driver'!$D$11-'PET Menu Driver'!$D$10,"",INDIRECT('PET Menu Driver'!$D$6&amp;"E"&amp;'PET Menu Driver'!$D$10+ROW('PET Menu Driver'!B41)-5))</f>
        <v/>
      </c>
    </row>
    <row r="42" spans="2:2">
      <c r="B42" t="str">
        <f ca="1">IF(ROW('PET Menu Driver'!B42)-5&gt;'PET Menu Driver'!$D$11-'PET Menu Driver'!$D$10,"",INDIRECT('PET Menu Driver'!$D$6&amp;"E"&amp;'PET Menu Driver'!$D$10+ROW('PET Menu Driver'!B42)-5))</f>
        <v/>
      </c>
    </row>
    <row r="43" spans="2:2">
      <c r="B43" t="str">
        <f ca="1">IF(ROW('PET Menu Driver'!B43)-5&gt;'PET Menu Driver'!$D$11-'PET Menu Driver'!$D$10,"",INDIRECT('PET Menu Driver'!$D$6&amp;"E"&amp;'PET Menu Driver'!$D$10+ROW('PET Menu Driver'!B43)-5))</f>
        <v/>
      </c>
    </row>
    <row r="44" spans="2:2">
      <c r="B44" t="str">
        <f ca="1">IF(ROW('PET Menu Driver'!B44)-5&gt;'PET Menu Driver'!$D$11-'PET Menu Driver'!$D$10,"",INDIRECT('PET Menu Driver'!$D$6&amp;"E"&amp;'PET Menu Driver'!$D$10+ROW('PET Menu Driver'!B44)-5))</f>
        <v/>
      </c>
    </row>
    <row r="45" spans="2:2">
      <c r="B45" t="str">
        <f ca="1">IF(ROW('PET Menu Driver'!B45)-5&gt;'PET Menu Driver'!$D$11-'PET Menu Driver'!$D$10,"",INDIRECT('PET Menu Driver'!$D$6&amp;"E"&amp;'PET Menu Driver'!$D$10+ROW('PET Menu Driver'!B45)-5))</f>
        <v/>
      </c>
    </row>
    <row r="46" spans="2:2">
      <c r="B46" t="str">
        <f ca="1">IF(ROW('PET Menu Driver'!B46)-5&gt;'PET Menu Driver'!$D$11-'PET Menu Driver'!$D$10,"",INDIRECT('PET Menu Driver'!$D$6&amp;"E"&amp;'PET Menu Driver'!$D$10+ROW('PET Menu Driver'!B46)-5))</f>
        <v/>
      </c>
    </row>
    <row r="47" spans="2:2">
      <c r="B47" t="str">
        <f ca="1">IF(ROW('PET Menu Driver'!B47)-5&gt;'PET Menu Driver'!$D$11-'PET Menu Driver'!$D$10,"",INDIRECT('PET Menu Driver'!$D$6&amp;"E"&amp;'PET Menu Driver'!$D$10+ROW('PET Menu Driver'!B47)-5))</f>
        <v/>
      </c>
    </row>
    <row r="48" spans="2:2">
      <c r="B48" t="str">
        <f ca="1">IF(ROW('PET Menu Driver'!B48)-5&gt;'PET Menu Driver'!$D$11-'PET Menu Driver'!$D$10,"",INDIRECT('PET Menu Driver'!$D$6&amp;"E"&amp;'PET Menu Driver'!$D$10+ROW('PET Menu Driver'!B48)-5))</f>
        <v/>
      </c>
    </row>
    <row r="49" spans="2:2">
      <c r="B49" t="str">
        <f ca="1">IF(ROW('PET Menu Driver'!B49)-5&gt;'PET Menu Driver'!$D$11-'PET Menu Driver'!$D$10,"",INDIRECT('PET Menu Driver'!$D$6&amp;"E"&amp;'PET Menu Driver'!$D$10+ROW('PET Menu Driver'!B49)-5))</f>
        <v/>
      </c>
    </row>
    <row r="50" spans="2:2">
      <c r="B50" t="str">
        <f ca="1">IF(ROW('PET Menu Driver'!B50)-5&gt;'PET Menu Driver'!$D$11-'PET Menu Driver'!$D$10,"",INDIRECT('PET Menu Driver'!$D$6&amp;"E"&amp;'PET Menu Driver'!$D$10+ROW('PET Menu Driver'!B50)-5))</f>
        <v/>
      </c>
    </row>
    <row r="51" spans="2:2">
      <c r="B51" t="str">
        <f ca="1">IF(ROW('PET Menu Driver'!B51)-5&gt;'PET Menu Driver'!$D$11-'PET Menu Driver'!$D$10,"",INDIRECT('PET Menu Driver'!$D$6&amp;"E"&amp;'PET Menu Driver'!$D$10+ROW('PET Menu Driver'!B51)-5))</f>
        <v/>
      </c>
    </row>
    <row r="52" spans="2:2">
      <c r="B52" t="str">
        <f ca="1">IF(ROW('PET Menu Driver'!B52)-5&gt;'PET Menu Driver'!$D$11-'PET Menu Driver'!$D$10,"",INDIRECT('PET Menu Driver'!$D$6&amp;"E"&amp;'PET Menu Driver'!$D$10+ROW('PET Menu Driver'!B52)-5))</f>
        <v/>
      </c>
    </row>
    <row r="53" spans="2:2">
      <c r="B53" t="str">
        <f ca="1">IF(ROW('PET Menu Driver'!B53)-5&gt;'PET Menu Driver'!$D$11-'PET Menu Driver'!$D$10,"",INDIRECT('PET Menu Driver'!$D$6&amp;"E"&amp;'PET Menu Driver'!$D$10+ROW('PET Menu Driver'!B53)-5))</f>
        <v/>
      </c>
    </row>
    <row r="54" spans="2:2">
      <c r="B54" t="str">
        <f ca="1">IF(ROW('PET Menu Driver'!B54)-5&gt;'PET Menu Driver'!$D$11-'PET Menu Driver'!$D$10,"",INDIRECT('PET Menu Driver'!$D$6&amp;"E"&amp;'PET Menu Driver'!$D$10+ROW('PET Menu Driver'!B54)-5))</f>
        <v/>
      </c>
    </row>
    <row r="55" spans="2:2">
      <c r="B55" t="str">
        <f ca="1">IF(ROW('PET Menu Driver'!B55)-5&gt;'PET Menu Driver'!$D$11-'PET Menu Driver'!$D$10,"",INDIRECT('PET Menu Driver'!$D$6&amp;"E"&amp;'PET Menu Driver'!$D$10+ROW('PET Menu Driver'!B55)-5))</f>
        <v/>
      </c>
    </row>
    <row r="56" spans="2:2">
      <c r="B56" t="str">
        <f ca="1">IF(ROW('PET Menu Driver'!B56)-5&gt;'PET Menu Driver'!$D$11-'PET Menu Driver'!$D$10,"",INDIRECT('PET Menu Driver'!$D$6&amp;"E"&amp;'PET Menu Driver'!$D$10+ROW('PET Menu Driver'!B56)-5))</f>
        <v/>
      </c>
    </row>
    <row r="57" spans="2:2">
      <c r="B57" t="str">
        <f ca="1">IF(ROW('PET Menu Driver'!B57)-5&gt;'PET Menu Driver'!$D$11-'PET Menu Driver'!$D$10,"",INDIRECT('PET Menu Driver'!$D$6&amp;"E"&amp;'PET Menu Driver'!$D$10+ROW('PET Menu Driver'!B57)-5))</f>
        <v/>
      </c>
    </row>
    <row r="58" spans="2:2">
      <c r="B58" t="str">
        <f ca="1">IF(ROW('PET Menu Driver'!B58)-5&gt;'PET Menu Driver'!$D$11-'PET Menu Driver'!$D$10,"",INDIRECT('PET Menu Driver'!$D$6&amp;"E"&amp;'PET Menu Driver'!$D$10+ROW('PET Menu Driver'!B58)-5))</f>
        <v/>
      </c>
    </row>
    <row r="59" spans="2:2">
      <c r="B59" t="str">
        <f ca="1">IF(ROW('PET Menu Driver'!B59)-5&gt;'PET Menu Driver'!$D$11-'PET Menu Driver'!$D$10,"",INDIRECT('PET Menu Driver'!$D$6&amp;"E"&amp;'PET Menu Driver'!$D$10+ROW('PET Menu Driver'!B59)-5))</f>
        <v/>
      </c>
    </row>
    <row r="60" spans="2:2">
      <c r="B60" t="str">
        <f ca="1">IF(ROW('PET Menu Driver'!B60)-5&gt;'PET Menu Driver'!$D$11-'PET Menu Driver'!$D$10,"",INDIRECT('PET Menu Driver'!$D$6&amp;"E"&amp;'PET Menu Driver'!$D$10+ROW('PET Menu Driver'!B60)-5))</f>
        <v/>
      </c>
    </row>
    <row r="61" spans="2:2">
      <c r="B61" t="str">
        <f ca="1">IF(ROW('PET Menu Driver'!B61)-5&gt;'PET Menu Driver'!$D$11-'PET Menu Driver'!$D$10,"",INDIRECT('PET Menu Driver'!$D$6&amp;"E"&amp;'PET Menu Driver'!$D$10+ROW('PET Menu Driver'!B61)-5))</f>
        <v/>
      </c>
    </row>
    <row r="62" spans="2:2">
      <c r="B62" t="str">
        <f ca="1">IF(ROW('PET Menu Driver'!B62)-5&gt;'PET Menu Driver'!$D$11-'PET Menu Driver'!$D$10,"",INDIRECT('PET Menu Driver'!$D$6&amp;"E"&amp;'PET Menu Driver'!$D$10+ROW('PET Menu Driver'!B62)-5))</f>
        <v/>
      </c>
    </row>
    <row r="63" spans="2:2">
      <c r="B63" t="str">
        <f ca="1">IF(ROW('PET Menu Driver'!B63)-5&gt;'PET Menu Driver'!$D$11-'PET Menu Driver'!$D$10,"",INDIRECT('PET Menu Driver'!$D$6&amp;"E"&amp;'PET Menu Driver'!$D$10+ROW('PET Menu Driver'!B63)-5))</f>
        <v/>
      </c>
    </row>
    <row r="64" spans="2:2">
      <c r="B64" t="str">
        <f ca="1">IF(ROW('PET Menu Driver'!B64)-5&gt;'PET Menu Driver'!$D$11-'PET Menu Driver'!$D$10,"",INDIRECT('PET Menu Driver'!$D$6&amp;"E"&amp;'PET Menu Driver'!$D$10+ROW('PET Menu Driver'!B64)-5))</f>
        <v/>
      </c>
    </row>
    <row r="65" spans="2:2">
      <c r="B65" t="str">
        <f ca="1">IF(ROW('PET Menu Driver'!B65)-5&gt;'PET Menu Driver'!$D$11-'PET Menu Driver'!$D$10,"",INDIRECT('PET Menu Driver'!$D$6&amp;"E"&amp;'PET Menu Driver'!$D$10+ROW('PET Menu Driver'!B65)-5))</f>
        <v/>
      </c>
    </row>
    <row r="66" spans="2:2">
      <c r="B66" t="str">
        <f ca="1">IF(ROW('PET Menu Driver'!B66)-5&gt;'PET Menu Driver'!$D$11-'PET Menu Driver'!$D$10,"",INDIRECT('PET Menu Driver'!$D$6&amp;"E"&amp;'PET Menu Driver'!$D$10+ROW('PET Menu Driver'!B66)-5))</f>
        <v/>
      </c>
    </row>
    <row r="67" spans="2:2">
      <c r="B67" t="str">
        <f ca="1">IF(ROW('PET Menu Driver'!B67)-5&gt;'PET Menu Driver'!$D$11-'PET Menu Driver'!$D$10,"",INDIRECT('PET Menu Driver'!$D$6&amp;"E"&amp;'PET Menu Driver'!$D$10+ROW('PET Menu Driver'!B67)-5))</f>
        <v/>
      </c>
    </row>
    <row r="68" spans="2:2">
      <c r="B68" t="str">
        <f ca="1">IF(ROW('PET Menu Driver'!B68)-5&gt;'PET Menu Driver'!$D$11-'PET Menu Driver'!$D$10,"",INDIRECT('PET Menu Driver'!$D$6&amp;"E"&amp;'PET Menu Driver'!$D$10+ROW('PET Menu Driver'!B68)-5))</f>
        <v/>
      </c>
    </row>
    <row r="69" spans="2:2">
      <c r="B69" t="str">
        <f ca="1">IF(ROW('PET Menu Driver'!B69)-5&gt;'PET Menu Driver'!$D$11-'PET Menu Driver'!$D$10,"",INDIRECT('PET Menu Driver'!$D$6&amp;"E"&amp;'PET Menu Driver'!$D$10+ROW('PET Menu Driver'!B69)-5))</f>
        <v/>
      </c>
    </row>
    <row r="70" spans="2:2">
      <c r="B70" t="str">
        <f ca="1">IF(ROW('PET Menu Driver'!B70)-5&gt;'PET Menu Driver'!$D$11-'PET Menu Driver'!$D$10,"",INDIRECT('PET Menu Driver'!$D$6&amp;"E"&amp;'PET Menu Driver'!$D$10+ROW('PET Menu Driver'!B70)-5))</f>
        <v/>
      </c>
    </row>
    <row r="71" spans="2:2">
      <c r="B71" t="str">
        <f ca="1">IF(ROW('PET Menu Driver'!B71)-5&gt;'PET Menu Driver'!$D$11-'PET Menu Driver'!$D$10,"",INDIRECT('PET Menu Driver'!$D$6&amp;"E"&amp;'PET Menu Driver'!$D$10+ROW('PET Menu Driver'!B71)-5))</f>
        <v/>
      </c>
    </row>
    <row r="72" spans="2:2">
      <c r="B72" t="str">
        <f ca="1">IF(ROW('PET Menu Driver'!B72)-5&gt;'PET Menu Driver'!$D$11-'PET Menu Driver'!$D$10,"",INDIRECT('PET Menu Driver'!$D$6&amp;"E"&amp;'PET Menu Driver'!$D$10+ROW('PET Menu Driver'!B72)-5))</f>
        <v/>
      </c>
    </row>
    <row r="73" spans="2:2">
      <c r="B73" t="str">
        <f ca="1">IF(ROW('PET Menu Driver'!B73)-5&gt;'PET Menu Driver'!$D$11-'PET Menu Driver'!$D$10,"",INDIRECT('PET Menu Driver'!$D$6&amp;"E"&amp;'PET Menu Driver'!$D$10+ROW('PET Menu Driver'!B73)-5))</f>
        <v/>
      </c>
    </row>
    <row r="74" spans="2:2">
      <c r="B74" t="str">
        <f ca="1">IF(ROW('PET Menu Driver'!B74)-5&gt;'PET Menu Driver'!$D$11-'PET Menu Driver'!$D$10,"",INDIRECT('PET Menu Driver'!$D$6&amp;"E"&amp;'PET Menu Driver'!$D$10+ROW('PET Menu Driver'!B74)-5))</f>
        <v/>
      </c>
    </row>
    <row r="75" spans="2:2">
      <c r="B75" t="str">
        <f ca="1">IF(ROW('PET Menu Driver'!B75)-5&gt;'PET Menu Driver'!$D$11-'PET Menu Driver'!$D$10,"",INDIRECT('PET Menu Driver'!$D$6&amp;"E"&amp;'PET Menu Driver'!$D$10+ROW('PET Menu Driver'!B75)-5))</f>
        <v/>
      </c>
    </row>
    <row r="76" spans="2:2">
      <c r="B76" t="str">
        <f ca="1">IF(ROW('PET Menu Driver'!B76)-5&gt;'PET Menu Driver'!$D$11-'PET Menu Driver'!$D$10,"",INDIRECT('PET Menu Driver'!$D$6&amp;"E"&amp;'PET Menu Driver'!$D$10+ROW('PET Menu Driver'!B76)-5))</f>
        <v/>
      </c>
    </row>
    <row r="77" spans="2:2">
      <c r="B77" t="str">
        <f ca="1">IF(ROW('PET Menu Driver'!B77)-5&gt;'PET Menu Driver'!$D$11-'PET Menu Driver'!$D$10,"",INDIRECT('PET Menu Driver'!$D$6&amp;"E"&amp;'PET Menu Driver'!$D$10+ROW('PET Menu Driver'!B77)-5))</f>
        <v/>
      </c>
    </row>
    <row r="78" spans="2:2">
      <c r="B78" t="str">
        <f ca="1">IF(ROW('PET Menu Driver'!B78)-5&gt;'PET Menu Driver'!$D$11-'PET Menu Driver'!$D$10,"",INDIRECT('PET Menu Driver'!$D$6&amp;"E"&amp;'PET Menu Driver'!$D$10+ROW('PET Menu Driver'!B78)-5))</f>
        <v/>
      </c>
    </row>
    <row r="79" spans="2:2">
      <c r="B79" t="str">
        <f ca="1">IF(ROW('PET Menu Driver'!B79)-5&gt;'PET Menu Driver'!$D$11-'PET Menu Driver'!$D$10,"",INDIRECT('PET Menu Driver'!$D$6&amp;"E"&amp;'PET Menu Driver'!$D$10+ROW('PET Menu Driver'!B79)-5))</f>
        <v/>
      </c>
    </row>
    <row r="80" spans="2:2">
      <c r="B80" t="str">
        <f ca="1">IF(ROW('PET Menu Driver'!B80)-5&gt;'PET Menu Driver'!$D$11-'PET Menu Driver'!$D$10,"",INDIRECT('PET Menu Driver'!$D$6&amp;"E"&amp;'PET Menu Driver'!$D$10+ROW('PET Menu Driver'!B80)-5))</f>
        <v/>
      </c>
    </row>
    <row r="81" spans="2:2">
      <c r="B81" t="str">
        <f ca="1">IF(ROW('PET Menu Driver'!B81)-5&gt;'PET Menu Driver'!$D$11-'PET Menu Driver'!$D$10,"",INDIRECT('PET Menu Driver'!$D$6&amp;"E"&amp;'PET Menu Driver'!$D$10+ROW('PET Menu Driver'!B81)-5))</f>
        <v/>
      </c>
    </row>
    <row r="82" spans="2:2">
      <c r="B82" t="str">
        <f ca="1">IF(ROW('PET Menu Driver'!B82)-5&gt;'PET Menu Driver'!$D$11-'PET Menu Driver'!$D$10,"",INDIRECT('PET Menu Driver'!$D$6&amp;"E"&amp;'PET Menu Driver'!$D$10+ROW('PET Menu Driver'!B82)-5))</f>
        <v/>
      </c>
    </row>
    <row r="83" spans="2:2">
      <c r="B83" t="str">
        <f ca="1">IF(ROW('PET Menu Driver'!B83)-5&gt;'PET Menu Driver'!$D$11-'PET Menu Driver'!$D$10,"",INDIRECT('PET Menu Driver'!$D$6&amp;"E"&amp;'PET Menu Driver'!$D$10+ROW('PET Menu Driver'!B83)-5))</f>
        <v/>
      </c>
    </row>
    <row r="84" spans="2:2">
      <c r="B84" t="str">
        <f ca="1">IF(ROW('PET Menu Driver'!B84)-5&gt;'PET Menu Driver'!$D$11-'PET Menu Driver'!$D$10,"",INDIRECT('PET Menu Driver'!$D$6&amp;"E"&amp;'PET Menu Driver'!$D$10+ROW('PET Menu Driver'!B84)-5))</f>
        <v/>
      </c>
    </row>
    <row r="85" spans="2:2">
      <c r="B85" t="str">
        <f ca="1">IF(ROW('PET Menu Driver'!B85)-5&gt;'PET Menu Driver'!$D$11-'PET Menu Driver'!$D$10,"",INDIRECT('PET Menu Driver'!$D$6&amp;"E"&amp;'PET Menu Driver'!$D$10+ROW('PET Menu Driver'!B85)-5))</f>
        <v/>
      </c>
    </row>
    <row r="86" spans="2:2">
      <c r="B86" t="str">
        <f ca="1">IF(ROW('PET Menu Driver'!B86)-5&gt;'PET Menu Driver'!$D$11-'PET Menu Driver'!$D$10,"",INDIRECT('PET Menu Driver'!$D$6&amp;"E"&amp;'PET Menu Driver'!$D$10+ROW('PET Menu Driver'!B86)-5))</f>
        <v/>
      </c>
    </row>
    <row r="87" spans="2:2">
      <c r="B87" t="str">
        <f ca="1">IF(ROW('PET Menu Driver'!B87)-5&gt;'PET Menu Driver'!$D$11-'PET Menu Driver'!$D$10,"",INDIRECT('PET Menu Driver'!$D$6&amp;"E"&amp;'PET Menu Driver'!$D$10+ROW('PET Menu Driver'!B87)-5))</f>
        <v/>
      </c>
    </row>
    <row r="88" spans="2:2">
      <c r="B88" t="str">
        <f ca="1">IF(ROW('PET Menu Driver'!B88)-5&gt;'PET Menu Driver'!$D$11-'PET Menu Driver'!$D$10,"",INDIRECT('PET Menu Driver'!$D$6&amp;"E"&amp;'PET Menu Driver'!$D$10+ROW('PET Menu Driver'!B88)-5))</f>
        <v/>
      </c>
    </row>
    <row r="89" spans="2:2">
      <c r="B89" t="str">
        <f ca="1">IF(ROW('PET Menu Driver'!B89)-5&gt;'PET Menu Driver'!$D$11-'PET Menu Driver'!$D$10,"",INDIRECT('PET Menu Driver'!$D$6&amp;"E"&amp;'PET Menu Driver'!$D$10+ROW('PET Menu Driver'!B89)-5))</f>
        <v/>
      </c>
    </row>
    <row r="90" spans="2:2">
      <c r="B90" t="str">
        <f ca="1">IF(ROW('PET Menu Driver'!B90)-5&gt;'PET Menu Driver'!$D$11-'PET Menu Driver'!$D$10,"",INDIRECT('PET Menu Driver'!$D$6&amp;"E"&amp;'PET Menu Driver'!$D$10+ROW('PET Menu Driver'!B90)-5))</f>
        <v/>
      </c>
    </row>
    <row r="91" spans="2:2">
      <c r="B91" t="str">
        <f ca="1">IF(ROW('PET Menu Driver'!B91)-5&gt;'PET Menu Driver'!$D$11-'PET Menu Driver'!$D$10,"",INDIRECT('PET Menu Driver'!$D$6&amp;"E"&amp;'PET Menu Driver'!$D$10+ROW('PET Menu Driver'!B91)-5))</f>
        <v/>
      </c>
    </row>
    <row r="92" spans="2:2">
      <c r="B92" t="str">
        <f ca="1">IF(ROW('PET Menu Driver'!B92)-5&gt;'PET Menu Driver'!$D$11-'PET Menu Driver'!$D$10,"",INDIRECT('PET Menu Driver'!$D$6&amp;"E"&amp;'PET Menu Driver'!$D$10+ROW('PET Menu Driver'!B92)-5))</f>
        <v/>
      </c>
    </row>
    <row r="93" spans="2:2">
      <c r="B93" t="str">
        <f ca="1">IF(ROW('PET Menu Driver'!B93)-5&gt;'PET Menu Driver'!$D$11-'PET Menu Driver'!$D$10,"",INDIRECT('PET Menu Driver'!$D$6&amp;"E"&amp;'PET Menu Driver'!$D$10+ROW('PET Menu Driver'!B93)-5))</f>
        <v/>
      </c>
    </row>
    <row r="94" spans="2:2">
      <c r="B94" t="str">
        <f ca="1">IF(ROW('PET Menu Driver'!B94)-5&gt;'PET Menu Driver'!$D$11-'PET Menu Driver'!$D$10,"",INDIRECT('PET Menu Driver'!$D$6&amp;"E"&amp;'PET Menu Driver'!$D$10+ROW('PET Menu Driver'!B94)-5))</f>
        <v/>
      </c>
    </row>
    <row r="95" spans="2:2">
      <c r="B95" t="str">
        <f ca="1">IF(ROW('PET Menu Driver'!B95)-5&gt;'PET Menu Driver'!$D$11-'PET Menu Driver'!$D$10,"",INDIRECT('PET Menu Driver'!$D$6&amp;"E"&amp;'PET Menu Driver'!$D$10+ROW('PET Menu Driver'!B95)-5))</f>
        <v/>
      </c>
    </row>
    <row r="96" spans="2:2">
      <c r="B96" t="str">
        <f ca="1">IF(ROW('PET Menu Driver'!B96)-5&gt;'PET Menu Driver'!$D$11-'PET Menu Driver'!$D$10,"",INDIRECT('PET Menu Driver'!$D$6&amp;"E"&amp;'PET Menu Driver'!$D$10+ROW('PET Menu Driver'!B96)-5))</f>
        <v/>
      </c>
    </row>
    <row r="97" spans="2:2">
      <c r="B97" t="str">
        <f ca="1">IF(ROW('PET Menu Driver'!B97)-5&gt;'PET Menu Driver'!$D$11-'PET Menu Driver'!$D$10,"",INDIRECT('PET Menu Driver'!$D$6&amp;"E"&amp;'PET Menu Driver'!$D$10+ROW('PET Menu Driver'!B97)-5))</f>
        <v/>
      </c>
    </row>
    <row r="98" spans="2:2">
      <c r="B98" t="str">
        <f ca="1">IF(ROW('PET Menu Driver'!B98)-5&gt;'PET Menu Driver'!$D$11-'PET Menu Driver'!$D$10,"",INDIRECT('PET Menu Driver'!$D$6&amp;"E"&amp;'PET Menu Driver'!$D$10+ROW('PET Menu Driver'!B98)-5))</f>
        <v/>
      </c>
    </row>
    <row r="99" spans="2:2">
      <c r="B99" t="str">
        <f ca="1">IF(ROW('PET Menu Driver'!B99)-5&gt;'PET Menu Driver'!$D$11-'PET Menu Driver'!$D$10,"",INDIRECT('PET Menu Driver'!$D$6&amp;"E"&amp;'PET Menu Driver'!$D$10+ROW('PET Menu Driver'!B99)-5))</f>
        <v/>
      </c>
    </row>
    <row r="100" spans="2:2">
      <c r="B100" t="str">
        <f ca="1">IF(ROW('PET Menu Driver'!B100)-5&gt;'PET Menu Driver'!$D$11-'PET Menu Driver'!$D$10,"",INDIRECT('PET Menu Driver'!$D$6&amp;"E"&amp;'PET Menu Driver'!$D$10+ROW('PET Menu Driver'!B100)-5))</f>
        <v/>
      </c>
    </row>
  </sheetData>
  <conditionalFormatting sqref="B1:B1048576">
    <cfRule type="expression" dxfId="0" priority="1">
      <formula>ROW()=$F$13</formula>
    </cfRule>
  </conditionalFormatting>
  <dataValidations disablePrompts="1" count="3">
    <dataValidation type="list" allowBlank="1" showInputMessage="1" showErrorMessage="1" sqref="O5" xr:uid="{7479636A-8702-4E46-9F6C-B0A5FC8266D1}">
      <formula1>drop1</formula1>
    </dataValidation>
    <dataValidation type="list" allowBlank="1" showInputMessage="1" showErrorMessage="1" sqref="O7" xr:uid="{9C7E343E-9952-438A-B468-532C0C0F8419}">
      <formula1>INDIRECT("drop"&amp;$K$4)</formula1>
    </dataValidation>
    <dataValidation type="list" allowBlank="1" showInputMessage="1" showErrorMessage="1" sqref="O6" xr:uid="{D2EFAD7E-A22B-43EE-979A-8E090A444918}">
      <formula1>INDIRECT(CONCATENATE("drop"&amp;$K$4))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A1:X39"/>
  <sheetViews>
    <sheetView showGridLines="0" workbookViewId="0">
      <selection activeCell="B13" sqref="B13"/>
    </sheetView>
  </sheetViews>
  <sheetFormatPr defaultColWidth="8.85546875" defaultRowHeight="15"/>
  <cols>
    <col min="1" max="1" width="19.85546875" customWidth="1"/>
    <col min="2" max="2" width="12.85546875" customWidth="1"/>
    <col min="3" max="12" width="14.42578125" customWidth="1"/>
  </cols>
  <sheetData>
    <row r="1" spans="1:17">
      <c r="A1" s="1"/>
      <c r="P1" t="s">
        <v>96</v>
      </c>
      <c r="Q1" s="16">
        <v>9.9999999999999998E-13</v>
      </c>
    </row>
    <row r="2" spans="1:17">
      <c r="A2" s="1" t="s">
        <v>111</v>
      </c>
    </row>
    <row r="3" spans="1:17">
      <c r="C3" s="3" t="s">
        <v>66</v>
      </c>
      <c r="D3" s="3" t="s">
        <v>67</v>
      </c>
      <c r="E3" s="3" t="s">
        <v>68</v>
      </c>
      <c r="F3" s="3" t="s">
        <v>69</v>
      </c>
      <c r="G3" s="3" t="s">
        <v>70</v>
      </c>
      <c r="H3" s="3" t="s">
        <v>71</v>
      </c>
      <c r="I3" s="3" t="s">
        <v>72</v>
      </c>
      <c r="J3" s="3" t="s">
        <v>73</v>
      </c>
      <c r="K3" s="3" t="s">
        <v>74</v>
      </c>
      <c r="L3" s="3" t="s">
        <v>75</v>
      </c>
    </row>
    <row r="4" spans="1:17">
      <c r="A4" t="s">
        <v>112</v>
      </c>
      <c r="C4" s="18">
        <f>IF('Market Adjustment Tool'!$B$78="Yes",100%,'Market Adjustment Tool'!B81)</f>
        <v>0.6</v>
      </c>
      <c r="D4" s="18">
        <f>IF('Market Adjustment Tool'!$B$78="Yes",100%,'Market Adjustment Tool'!C81)</f>
        <v>0.75</v>
      </c>
      <c r="E4" s="18">
        <f>IF('Market Adjustment Tool'!$B$78="Yes",100%,'Market Adjustment Tool'!D81)</f>
        <v>0.8</v>
      </c>
      <c r="F4" s="18">
        <f>IF('Market Adjustment Tool'!$B$78="Yes",100%,'Market Adjustment Tool'!E81)</f>
        <v>1</v>
      </c>
      <c r="G4" s="18">
        <f>IF('Market Adjustment Tool'!$B$78="Yes",100%,'Market Adjustment Tool'!F81)</f>
        <v>1</v>
      </c>
      <c r="H4" s="18">
        <f>IF('Market Adjustment Tool'!$B$78="Yes",100%,'Market Adjustment Tool'!G81)</f>
        <v>1</v>
      </c>
      <c r="I4" s="18">
        <f>IF('Market Adjustment Tool'!$B$78="Yes",100%,'Market Adjustment Tool'!H81)</f>
        <v>1</v>
      </c>
      <c r="J4" s="18">
        <f>IF('Market Adjustment Tool'!$B$78="Yes",100%,'Market Adjustment Tool'!I81)</f>
        <v>1</v>
      </c>
      <c r="K4" s="18">
        <f>IF('Market Adjustment Tool'!$B$78="Yes",100%,'Market Adjustment Tool'!J81)</f>
        <v>1</v>
      </c>
      <c r="L4" s="18">
        <f>IF('Market Adjustment Tool'!$B$78="Yes",100%,'Market Adjustment Tool'!K81)</f>
        <v>1</v>
      </c>
    </row>
    <row r="5" spans="1:17">
      <c r="A5" t="s">
        <v>113</v>
      </c>
      <c r="C5" s="18">
        <f>IF('Market Adjustment Tool'!$B$78="Yes",100%,'Market Adjustment Tool'!B88)</f>
        <v>0.2</v>
      </c>
      <c r="D5" s="18">
        <f ca="1">IF('Market Adjustment Tool'!$B$78="Yes",100%,'Market Adjustment Tool'!C88)</f>
        <v>0.25</v>
      </c>
      <c r="E5" s="18">
        <f ca="1">IF('Market Adjustment Tool'!$B$78="Yes",100%,'Market Adjustment Tool'!D88)</f>
        <v>0.33333333333333331</v>
      </c>
      <c r="F5" s="18">
        <f ca="1">IF('Market Adjustment Tool'!$B$78="Yes",100%,'Market Adjustment Tool'!E88)</f>
        <v>0.5</v>
      </c>
      <c r="G5" s="18">
        <f ca="1">IF('Market Adjustment Tool'!$B$78="Yes",100%,'Market Adjustment Tool'!F88)</f>
        <v>1</v>
      </c>
      <c r="H5" s="18">
        <f ca="1">IF('Market Adjustment Tool'!$B$78="Yes",100%,'Market Adjustment Tool'!G88)</f>
        <v>1</v>
      </c>
      <c r="I5" s="18">
        <f ca="1">IF('Market Adjustment Tool'!$B$78="Yes",100%,'Market Adjustment Tool'!H88)</f>
        <v>1</v>
      </c>
      <c r="J5" s="18">
        <f ca="1">IF('Market Adjustment Tool'!$B$78="Yes",100%,'Market Adjustment Tool'!I88)</f>
        <v>1</v>
      </c>
      <c r="K5" s="18">
        <f ca="1">IF('Market Adjustment Tool'!$B$78="Yes",100%,'Market Adjustment Tool'!J88)</f>
        <v>1</v>
      </c>
      <c r="L5" s="18">
        <f ca="1">IF('Market Adjustment Tool'!$B$78="Yes",100%,'Market Adjustment Tool'!K88)</f>
        <v>1</v>
      </c>
    </row>
    <row r="7" spans="1:17">
      <c r="A7" t="s">
        <v>114</v>
      </c>
      <c r="C7" s="18">
        <f>IF('Market Adjustment Tool'!$B$78="No",'Market Adjustment Tool'!$B$90,1)</f>
        <v>0.9</v>
      </c>
    </row>
    <row r="10" spans="1:17">
      <c r="A10" s="1" t="s">
        <v>93</v>
      </c>
    </row>
    <row r="11" spans="1:17">
      <c r="A11" s="1"/>
    </row>
    <row r="12" spans="1:17">
      <c r="A12" t="s">
        <v>83</v>
      </c>
      <c r="B12" s="78">
        <f ca="1">IF('Market Adjustment Tool'!F71&lt;&gt;"",'Market Adjustment Tool'!F71,'Market Adjustment Tool'!C71)</f>
        <v>0.20127244861071497</v>
      </c>
    </row>
    <row r="13" spans="1:17">
      <c r="A13" t="s">
        <v>1006</v>
      </c>
      <c r="B13" s="78">
        <f ca="1">IF('Market Adjustment Tool'!F72&lt;&gt;"",'Market Adjustment Tool'!F72,'Market Adjustment Tool'!C72)</f>
        <v>0</v>
      </c>
    </row>
    <row r="14" spans="1:17">
      <c r="A14" s="1"/>
    </row>
    <row r="15" spans="1:17">
      <c r="C15" s="3" t="s">
        <v>66</v>
      </c>
      <c r="D15" s="3" t="s">
        <v>67</v>
      </c>
      <c r="E15" s="3" t="s">
        <v>68</v>
      </c>
      <c r="F15" s="3" t="s">
        <v>69</v>
      </c>
      <c r="G15" s="3" t="s">
        <v>70</v>
      </c>
      <c r="H15" s="3" t="s">
        <v>71</v>
      </c>
      <c r="I15" s="3" t="s">
        <v>72</v>
      </c>
      <c r="J15" s="3" t="s">
        <v>73</v>
      </c>
      <c r="K15" s="3" t="s">
        <v>74</v>
      </c>
      <c r="L15" s="3" t="s">
        <v>75</v>
      </c>
    </row>
    <row r="16" spans="1:17">
      <c r="A16" t="s">
        <v>82</v>
      </c>
      <c r="C16" s="87">
        <f ca="1">ROUND(B$13,0)</f>
        <v>0</v>
      </c>
      <c r="D16" s="17">
        <f t="shared" ref="D16:L16" ca="1" si="0">ROUND((C16+C18-C20)*$C$7,0)</f>
        <v>0</v>
      </c>
      <c r="E16" s="17">
        <f t="shared" ca="1" si="0"/>
        <v>0</v>
      </c>
      <c r="F16" s="17">
        <f t="shared" ca="1" si="0"/>
        <v>0</v>
      </c>
      <c r="G16" s="17">
        <f t="shared" ca="1" si="0"/>
        <v>0</v>
      </c>
      <c r="H16" s="17">
        <f t="shared" ca="1" si="0"/>
        <v>0</v>
      </c>
      <c r="I16" s="17">
        <f t="shared" ca="1" si="0"/>
        <v>0</v>
      </c>
      <c r="J16" s="17">
        <f t="shared" ca="1" si="0"/>
        <v>0</v>
      </c>
      <c r="K16" s="17">
        <f t="shared" ca="1" si="0"/>
        <v>0</v>
      </c>
      <c r="L16" s="17">
        <f t="shared" ca="1" si="0"/>
        <v>0</v>
      </c>
    </row>
    <row r="17" spans="1:24">
      <c r="A17" t="s">
        <v>1021</v>
      </c>
      <c r="C17" s="87">
        <f ca="1">ROUND(C$16*C$5,0)</f>
        <v>0</v>
      </c>
      <c r="D17" s="17">
        <f t="shared" ref="D17:L17" ca="1" si="1">ROUND(D$16*D$5,0)</f>
        <v>0</v>
      </c>
      <c r="E17" s="17">
        <f t="shared" ca="1" si="1"/>
        <v>0</v>
      </c>
      <c r="F17" s="17">
        <f t="shared" ca="1" si="1"/>
        <v>0</v>
      </c>
      <c r="G17" s="17">
        <f t="shared" ca="1" si="1"/>
        <v>0</v>
      </c>
      <c r="H17" s="17">
        <f t="shared" ca="1" si="1"/>
        <v>0</v>
      </c>
      <c r="I17" s="17">
        <f t="shared" ca="1" si="1"/>
        <v>0</v>
      </c>
      <c r="J17" s="17">
        <f t="shared" ca="1" si="1"/>
        <v>0</v>
      </c>
      <c r="K17" s="17">
        <f t="shared" ca="1" si="1"/>
        <v>0</v>
      </c>
      <c r="L17" s="17">
        <f t="shared" ca="1" si="1"/>
        <v>0</v>
      </c>
    </row>
    <row r="18" spans="1:24">
      <c r="A18" t="s">
        <v>1022</v>
      </c>
      <c r="C18" s="17">
        <f ca="1">ROUND($B$12,0)</f>
        <v>0</v>
      </c>
      <c r="D18" s="17">
        <f t="shared" ref="D18:L18" ca="1" si="2">ROUND($B$12,0)</f>
        <v>0</v>
      </c>
      <c r="E18" s="17">
        <f t="shared" ca="1" si="2"/>
        <v>0</v>
      </c>
      <c r="F18" s="17">
        <f t="shared" ca="1" si="2"/>
        <v>0</v>
      </c>
      <c r="G18" s="17">
        <f t="shared" ca="1" si="2"/>
        <v>0</v>
      </c>
      <c r="H18" s="17">
        <f t="shared" ca="1" si="2"/>
        <v>0</v>
      </c>
      <c r="I18" s="17">
        <f t="shared" ca="1" si="2"/>
        <v>0</v>
      </c>
      <c r="J18" s="17">
        <f t="shared" ca="1" si="2"/>
        <v>0</v>
      </c>
      <c r="K18" s="17">
        <f t="shared" ca="1" si="2"/>
        <v>0</v>
      </c>
      <c r="L18" s="17">
        <f t="shared" ca="1" si="2"/>
        <v>0</v>
      </c>
    </row>
    <row r="19" spans="1:24">
      <c r="A19" t="s">
        <v>1023</v>
      </c>
      <c r="C19" s="17">
        <f ca="1">ROUND(C$18*C$4,0)</f>
        <v>0</v>
      </c>
      <c r="D19" s="17">
        <f t="shared" ref="D19:L19" ca="1" si="3">ROUND(D$18*D$4,0)</f>
        <v>0</v>
      </c>
      <c r="E19" s="17">
        <f t="shared" ca="1" si="3"/>
        <v>0</v>
      </c>
      <c r="F19" s="17">
        <f t="shared" ca="1" si="3"/>
        <v>0</v>
      </c>
      <c r="G19" s="17">
        <f t="shared" ca="1" si="3"/>
        <v>0</v>
      </c>
      <c r="H19" s="17">
        <f t="shared" ca="1" si="3"/>
        <v>0</v>
      </c>
      <c r="I19" s="17">
        <f t="shared" ca="1" si="3"/>
        <v>0</v>
      </c>
      <c r="J19" s="17">
        <f t="shared" ca="1" si="3"/>
        <v>0</v>
      </c>
      <c r="K19" s="17">
        <f t="shared" ca="1" si="3"/>
        <v>0</v>
      </c>
      <c r="L19" s="17">
        <f t="shared" ca="1" si="3"/>
        <v>0</v>
      </c>
    </row>
    <row r="20" spans="1:24">
      <c r="A20" t="s">
        <v>1024</v>
      </c>
      <c r="C20" s="17">
        <f t="shared" ref="C20:L20" ca="1" si="4">C17+C19</f>
        <v>0</v>
      </c>
      <c r="D20" s="17">
        <f t="shared" ca="1" si="4"/>
        <v>0</v>
      </c>
      <c r="E20" s="17">
        <f t="shared" ca="1" si="4"/>
        <v>0</v>
      </c>
      <c r="F20" s="17">
        <f t="shared" ca="1" si="4"/>
        <v>0</v>
      </c>
      <c r="G20" s="17">
        <f t="shared" ca="1" si="4"/>
        <v>0</v>
      </c>
      <c r="H20" s="17">
        <f t="shared" ca="1" si="4"/>
        <v>0</v>
      </c>
      <c r="I20" s="17">
        <f t="shared" ca="1" si="4"/>
        <v>0</v>
      </c>
      <c r="J20" s="17">
        <f t="shared" ca="1" si="4"/>
        <v>0</v>
      </c>
      <c r="K20" s="17">
        <f t="shared" ca="1" si="4"/>
        <v>0</v>
      </c>
      <c r="L20" s="17">
        <f t="shared" ca="1" si="4"/>
        <v>0</v>
      </c>
    </row>
    <row r="22" spans="1:24">
      <c r="A22" s="1" t="s">
        <v>1027</v>
      </c>
    </row>
    <row r="24" spans="1:24">
      <c r="C24" s="3" t="s">
        <v>66</v>
      </c>
      <c r="D24" s="3" t="s">
        <v>67</v>
      </c>
      <c r="E24" s="3" t="s">
        <v>68</v>
      </c>
      <c r="F24" s="3" t="s">
        <v>69</v>
      </c>
      <c r="G24" s="3" t="s">
        <v>70</v>
      </c>
      <c r="H24" s="3" t="s">
        <v>71</v>
      </c>
      <c r="I24" s="3" t="s">
        <v>72</v>
      </c>
      <c r="J24" s="3" t="s">
        <v>73</v>
      </c>
      <c r="K24" s="3" t="s">
        <v>74</v>
      </c>
      <c r="L24" s="3" t="s">
        <v>75</v>
      </c>
    </row>
    <row r="25" spans="1:24">
      <c r="A25" t="s">
        <v>82</v>
      </c>
      <c r="C25" s="87">
        <f ca="1">ROUND(IF(B$13&gt;1,_xlfn.BINOM.INV('Therapy Impact Modeling Tool'!$B$47,$B$13/'Therapy Impact Modeling Tool'!$B$47,RAND()),IF(RAND()&lt;B$13,1,0)),0)</f>
        <v>0</v>
      </c>
      <c r="D25" s="17">
        <f t="shared" ref="D25:L25" ca="1" si="5">ROUND((C25+C27-C29)*$C$7,0)</f>
        <v>0</v>
      </c>
      <c r="E25" s="17">
        <f t="shared" ca="1" si="5"/>
        <v>0</v>
      </c>
      <c r="F25" s="17">
        <f t="shared" ca="1" si="5"/>
        <v>0</v>
      </c>
      <c r="G25" s="17">
        <f t="shared" ca="1" si="5"/>
        <v>0</v>
      </c>
      <c r="H25" s="17">
        <f t="shared" ca="1" si="5"/>
        <v>0</v>
      </c>
      <c r="I25" s="17">
        <f t="shared" ca="1" si="5"/>
        <v>0</v>
      </c>
      <c r="J25" s="17">
        <f t="shared" ca="1" si="5"/>
        <v>0</v>
      </c>
      <c r="K25" s="17">
        <f t="shared" ca="1" si="5"/>
        <v>0</v>
      </c>
      <c r="L25" s="17">
        <f t="shared" ca="1" si="5"/>
        <v>0</v>
      </c>
      <c r="N25" s="78"/>
      <c r="O25" s="78"/>
      <c r="P25" s="78"/>
      <c r="Q25" s="78"/>
      <c r="R25" s="78"/>
      <c r="S25" s="78"/>
      <c r="T25" s="78"/>
      <c r="U25" s="78"/>
      <c r="V25" s="78"/>
      <c r="W25" s="78"/>
      <c r="X25" s="78"/>
    </row>
    <row r="26" spans="1:24">
      <c r="A26" t="s">
        <v>1021</v>
      </c>
      <c r="C26" s="87">
        <f t="shared" ref="C26:L26" ca="1" si="6">ROUND(C$25*C$5,0)</f>
        <v>0</v>
      </c>
      <c r="D26" s="17">
        <f t="shared" ca="1" si="6"/>
        <v>0</v>
      </c>
      <c r="E26" s="17">
        <f t="shared" ca="1" si="6"/>
        <v>0</v>
      </c>
      <c r="F26" s="17">
        <f t="shared" ca="1" si="6"/>
        <v>0</v>
      </c>
      <c r="G26" s="17">
        <f t="shared" ca="1" si="6"/>
        <v>0</v>
      </c>
      <c r="H26" s="17">
        <f t="shared" ca="1" si="6"/>
        <v>0</v>
      </c>
      <c r="I26" s="17">
        <f t="shared" ca="1" si="6"/>
        <v>0</v>
      </c>
      <c r="J26" s="17">
        <f t="shared" ca="1" si="6"/>
        <v>0</v>
      </c>
      <c r="K26" s="17">
        <f t="shared" ca="1" si="6"/>
        <v>0</v>
      </c>
      <c r="L26" s="17">
        <f t="shared" ca="1" si="6"/>
        <v>0</v>
      </c>
      <c r="N26" s="78"/>
      <c r="O26" s="78"/>
      <c r="P26" s="78"/>
      <c r="Q26" s="78"/>
      <c r="R26" s="78"/>
      <c r="S26" s="78"/>
      <c r="T26" s="78"/>
      <c r="U26" s="78"/>
      <c r="V26" s="78"/>
      <c r="W26" s="78"/>
      <c r="X26" s="78"/>
    </row>
    <row r="27" spans="1:24">
      <c r="A27" t="s">
        <v>1022</v>
      </c>
      <c r="C27" s="17">
        <f ca="1">ROUND(IF($B$12&gt;1,_xlfn.BINOM.INV('Therapy Impact Modeling Tool'!$B$47,$B$12/'Therapy Impact Modeling Tool'!$B$47,RAND()),IF(RAND()&lt;$B$12,1,0)),0)</f>
        <v>0</v>
      </c>
      <c r="D27" s="17">
        <f ca="1">ROUND(IF($B$12&gt;1,_xlfn.BINOM.INV('Therapy Impact Modeling Tool'!$B$47,$B$12/'Therapy Impact Modeling Tool'!$B$47,RAND()),IF(RAND()&lt;$B$12,1,0)),0)</f>
        <v>0</v>
      </c>
      <c r="E27" s="17">
        <f ca="1">ROUND(IF($B$12&gt;1,_xlfn.BINOM.INV('Therapy Impact Modeling Tool'!$B$47,$B$12/'Therapy Impact Modeling Tool'!$B$47,RAND()),IF(RAND()&lt;$B$12,1,0)),0)</f>
        <v>0</v>
      </c>
      <c r="F27" s="17">
        <f ca="1">ROUND(IF($B$12&gt;1,_xlfn.BINOM.INV('Therapy Impact Modeling Tool'!$B$47,$B$12/'Therapy Impact Modeling Tool'!$B$47,RAND()),IF(RAND()&lt;$B$12,1,0)),0)</f>
        <v>1</v>
      </c>
      <c r="G27" s="17">
        <f ca="1">ROUND(IF($B$12&gt;1,_xlfn.BINOM.INV('Therapy Impact Modeling Tool'!$B$47,$B$12/'Therapy Impact Modeling Tool'!$B$47,RAND()),IF(RAND()&lt;$B$12,1,0)),0)</f>
        <v>1</v>
      </c>
      <c r="H27" s="17">
        <f ca="1">ROUND(IF($B$12&gt;1,_xlfn.BINOM.INV('Therapy Impact Modeling Tool'!$B$47,$B$12/'Therapy Impact Modeling Tool'!$B$47,RAND()),IF(RAND()&lt;$B$12,1,0)),0)</f>
        <v>0</v>
      </c>
      <c r="I27" s="17">
        <f ca="1">ROUND(IF($B$12&gt;1,_xlfn.BINOM.INV('Therapy Impact Modeling Tool'!$B$47,$B$12/'Therapy Impact Modeling Tool'!$B$47,RAND()),IF(RAND()&lt;$B$12,1,0)),0)</f>
        <v>1</v>
      </c>
      <c r="J27" s="17">
        <f ca="1">ROUND(IF($B$12&gt;1,_xlfn.BINOM.INV('Therapy Impact Modeling Tool'!$B$47,$B$12/'Therapy Impact Modeling Tool'!$B$47,RAND()),IF(RAND()&lt;$B$12,1,0)),0)</f>
        <v>0</v>
      </c>
      <c r="K27" s="17">
        <f ca="1">ROUND(IF($B$12&gt;1,_xlfn.BINOM.INV('Therapy Impact Modeling Tool'!$B$47,$B$12/'Therapy Impact Modeling Tool'!$B$47,RAND()),IF(RAND()&lt;$B$12,1,0)),0)</f>
        <v>0</v>
      </c>
      <c r="L27" s="17">
        <f ca="1">ROUND(IF($B$12&gt;1,_xlfn.BINOM.INV('Therapy Impact Modeling Tool'!$B$47,$B$12/'Therapy Impact Modeling Tool'!$B$47,RAND()),IF(RAND()&lt;$B$12,1,0)),0)</f>
        <v>0</v>
      </c>
    </row>
    <row r="28" spans="1:24">
      <c r="A28" t="s">
        <v>1023</v>
      </c>
      <c r="C28" s="17">
        <f t="shared" ref="C28:L28" ca="1" si="7">ROUND(C$27*C$4,0)</f>
        <v>0</v>
      </c>
      <c r="D28" s="17">
        <f t="shared" ca="1" si="7"/>
        <v>0</v>
      </c>
      <c r="E28" s="17">
        <f t="shared" ca="1" si="7"/>
        <v>0</v>
      </c>
      <c r="F28" s="17">
        <f t="shared" ca="1" si="7"/>
        <v>1</v>
      </c>
      <c r="G28" s="17">
        <f t="shared" ca="1" si="7"/>
        <v>1</v>
      </c>
      <c r="H28" s="17">
        <f t="shared" ca="1" si="7"/>
        <v>0</v>
      </c>
      <c r="I28" s="17">
        <f t="shared" ca="1" si="7"/>
        <v>1</v>
      </c>
      <c r="J28" s="17">
        <f t="shared" ca="1" si="7"/>
        <v>0</v>
      </c>
      <c r="K28" s="17">
        <f t="shared" ca="1" si="7"/>
        <v>0</v>
      </c>
      <c r="L28" s="17">
        <f t="shared" ca="1" si="7"/>
        <v>0</v>
      </c>
    </row>
    <row r="29" spans="1:24">
      <c r="A29" t="s">
        <v>1024</v>
      </c>
      <c r="C29" s="17">
        <f t="shared" ref="C29:L29" ca="1" si="8">C26+C28</f>
        <v>0</v>
      </c>
      <c r="D29" s="17">
        <f t="shared" ca="1" si="8"/>
        <v>0</v>
      </c>
      <c r="E29" s="17">
        <f t="shared" ca="1" si="8"/>
        <v>0</v>
      </c>
      <c r="F29" s="17">
        <f t="shared" ca="1" si="8"/>
        <v>1</v>
      </c>
      <c r="G29" s="17">
        <f t="shared" ca="1" si="8"/>
        <v>1</v>
      </c>
      <c r="H29" s="17">
        <f t="shared" ca="1" si="8"/>
        <v>0</v>
      </c>
      <c r="I29" s="17">
        <f t="shared" ca="1" si="8"/>
        <v>1</v>
      </c>
      <c r="J29" s="17">
        <f t="shared" ca="1" si="8"/>
        <v>0</v>
      </c>
      <c r="K29" s="17">
        <f t="shared" ca="1" si="8"/>
        <v>0</v>
      </c>
      <c r="L29" s="17">
        <f t="shared" ca="1" si="8"/>
        <v>0</v>
      </c>
    </row>
    <row r="31" spans="1:24">
      <c r="A31" s="1" t="s">
        <v>94</v>
      </c>
    </row>
    <row r="32" spans="1:24">
      <c r="A32" s="1"/>
    </row>
    <row r="33" spans="1:12">
      <c r="A33" t="s">
        <v>95</v>
      </c>
      <c r="B33">
        <f ca="1">IFERROR(_xlfn.BINOM.INV('Therapy Impact Modeling Tool'!B47,B12/'Therapy Impact Modeling Tool'!B47,0.95),0)</f>
        <v>1</v>
      </c>
    </row>
    <row r="34" spans="1:12">
      <c r="C34" s="3" t="s">
        <v>66</v>
      </c>
      <c r="D34" s="3" t="s">
        <v>67</v>
      </c>
      <c r="E34" s="3" t="s">
        <v>68</v>
      </c>
      <c r="F34" s="3" t="s">
        <v>69</v>
      </c>
      <c r="G34" s="3" t="s">
        <v>70</v>
      </c>
      <c r="H34" s="3" t="s">
        <v>71</v>
      </c>
      <c r="I34" s="3" t="s">
        <v>72</v>
      </c>
      <c r="J34" s="3" t="s">
        <v>73</v>
      </c>
      <c r="K34" s="3" t="s">
        <v>74</v>
      </c>
      <c r="L34" s="3" t="s">
        <v>75</v>
      </c>
    </row>
    <row r="35" spans="1:12">
      <c r="A35" t="s">
        <v>82</v>
      </c>
      <c r="C35" s="87">
        <f ca="1">IFERROR(ROUND(_xlfn.BINOM.INV('Therapy Impact Modeling Tool'!$B$47,$B$13/'Therapy Impact Modeling Tool'!$B$47,0.95),0),0)</f>
        <v>0</v>
      </c>
      <c r="D35" s="17">
        <f ca="1">ROUND((C35+C37-C39)*$C$7,0)</f>
        <v>0</v>
      </c>
      <c r="E35" s="17">
        <f t="shared" ref="E35:L35" ca="1" si="9">ROUND((D35+D37-D39)*$C$7,0)</f>
        <v>0</v>
      </c>
      <c r="F35" s="17">
        <f t="shared" ca="1" si="9"/>
        <v>0</v>
      </c>
      <c r="G35" s="17">
        <f t="shared" ca="1" si="9"/>
        <v>0</v>
      </c>
      <c r="H35" s="17">
        <f t="shared" ca="1" si="9"/>
        <v>0</v>
      </c>
      <c r="I35" s="17">
        <f t="shared" ca="1" si="9"/>
        <v>0</v>
      </c>
      <c r="J35" s="17">
        <f t="shared" ca="1" si="9"/>
        <v>0</v>
      </c>
      <c r="K35" s="17">
        <f t="shared" ca="1" si="9"/>
        <v>0</v>
      </c>
      <c r="L35" s="17">
        <f t="shared" ca="1" si="9"/>
        <v>0</v>
      </c>
    </row>
    <row r="36" spans="1:12">
      <c r="A36" t="s">
        <v>1021</v>
      </c>
      <c r="C36" s="87">
        <f ca="1">ROUND(C$35*C$5,0)</f>
        <v>0</v>
      </c>
      <c r="D36" s="17">
        <f t="shared" ref="D36:L36" ca="1" si="10">ROUND(D$35*D$5,0)</f>
        <v>0</v>
      </c>
      <c r="E36" s="17">
        <f t="shared" ca="1" si="10"/>
        <v>0</v>
      </c>
      <c r="F36" s="17">
        <f t="shared" ca="1" si="10"/>
        <v>0</v>
      </c>
      <c r="G36" s="17">
        <f t="shared" ca="1" si="10"/>
        <v>0</v>
      </c>
      <c r="H36" s="17">
        <f t="shared" ca="1" si="10"/>
        <v>0</v>
      </c>
      <c r="I36" s="17">
        <f t="shared" ca="1" si="10"/>
        <v>0</v>
      </c>
      <c r="J36" s="17">
        <f t="shared" ca="1" si="10"/>
        <v>0</v>
      </c>
      <c r="K36" s="17">
        <f t="shared" ca="1" si="10"/>
        <v>0</v>
      </c>
      <c r="L36" s="17">
        <f t="shared" ca="1" si="10"/>
        <v>0</v>
      </c>
    </row>
    <row r="37" spans="1:12">
      <c r="A37" t="s">
        <v>1022</v>
      </c>
      <c r="C37" s="17">
        <f ca="1">IFERROR(ROUND(_xlfn.BINOM.INV('Therapy Impact Modeling Tool'!$B$47,$B$12/'Therapy Impact Modeling Tool'!$B$47,0.95),0),0)</f>
        <v>1</v>
      </c>
      <c r="D37" s="17">
        <f ca="1">IFERROR(ROUND(_xlfn.BINOM.INV('Therapy Impact Modeling Tool'!$B$47,$B$12/'Therapy Impact Modeling Tool'!$B$47,0.95),0),0)</f>
        <v>1</v>
      </c>
      <c r="E37" s="17">
        <f ca="1">IFERROR(ROUND(_xlfn.BINOM.INV('Therapy Impact Modeling Tool'!$B$47,$B$12/'Therapy Impact Modeling Tool'!$B$47,0.95),0),0)</f>
        <v>1</v>
      </c>
      <c r="F37" s="17">
        <f ca="1">IFERROR(ROUND(_xlfn.BINOM.INV('Therapy Impact Modeling Tool'!$B$47,$B$12/'Therapy Impact Modeling Tool'!$B$47,0.95),0),0)</f>
        <v>1</v>
      </c>
      <c r="G37" s="17">
        <f ca="1">IFERROR(ROUND(_xlfn.BINOM.INV('Therapy Impact Modeling Tool'!$B$47,$B$12/'Therapy Impact Modeling Tool'!$B$47,0.95),0),0)</f>
        <v>1</v>
      </c>
      <c r="H37" s="17">
        <f ca="1">IFERROR(ROUND(_xlfn.BINOM.INV('Therapy Impact Modeling Tool'!$B$47,$B$12/'Therapy Impact Modeling Tool'!$B$47,0.95),0),0)</f>
        <v>1</v>
      </c>
      <c r="I37" s="17">
        <f ca="1">IFERROR(ROUND(_xlfn.BINOM.INV('Therapy Impact Modeling Tool'!$B$47,$B$12/'Therapy Impact Modeling Tool'!$B$47,0.95),0),0)</f>
        <v>1</v>
      </c>
      <c r="J37" s="17">
        <f ca="1">IFERROR(ROUND(_xlfn.BINOM.INV('Therapy Impact Modeling Tool'!$B$47,$B$12/'Therapy Impact Modeling Tool'!$B$47,0.95),0),0)</f>
        <v>1</v>
      </c>
      <c r="K37" s="17">
        <f ca="1">IFERROR(ROUND(_xlfn.BINOM.INV('Therapy Impact Modeling Tool'!$B$47,$B$12/'Therapy Impact Modeling Tool'!$B$47,0.95),0),0)</f>
        <v>1</v>
      </c>
      <c r="L37" s="17">
        <f ca="1">IFERROR(ROUND(_xlfn.BINOM.INV('Therapy Impact Modeling Tool'!$B$47,$B$12/'Therapy Impact Modeling Tool'!$B$47,0.95),0),0)</f>
        <v>1</v>
      </c>
    </row>
    <row r="38" spans="1:12">
      <c r="A38" t="s">
        <v>1023</v>
      </c>
      <c r="C38" s="17">
        <f ca="1">ROUND(C$37*C$4,0)</f>
        <v>1</v>
      </c>
      <c r="D38" s="17">
        <f t="shared" ref="D38:L38" ca="1" si="11">ROUND(D$37*D$4,0)</f>
        <v>1</v>
      </c>
      <c r="E38" s="17">
        <f t="shared" ca="1" si="11"/>
        <v>1</v>
      </c>
      <c r="F38" s="17">
        <f t="shared" ca="1" si="11"/>
        <v>1</v>
      </c>
      <c r="G38" s="17">
        <f t="shared" ca="1" si="11"/>
        <v>1</v>
      </c>
      <c r="H38" s="17">
        <f t="shared" ca="1" si="11"/>
        <v>1</v>
      </c>
      <c r="I38" s="17">
        <f t="shared" ca="1" si="11"/>
        <v>1</v>
      </c>
      <c r="J38" s="17">
        <f t="shared" ca="1" si="11"/>
        <v>1</v>
      </c>
      <c r="K38" s="17">
        <f t="shared" ca="1" si="11"/>
        <v>1</v>
      </c>
      <c r="L38" s="17">
        <f t="shared" ca="1" si="11"/>
        <v>1</v>
      </c>
    </row>
    <row r="39" spans="1:12">
      <c r="A39" t="s">
        <v>1024</v>
      </c>
      <c r="C39" s="17">
        <f ca="1">C36+C38</f>
        <v>1</v>
      </c>
      <c r="D39" s="17">
        <f t="shared" ref="D39:L39" ca="1" si="12">D36+D38</f>
        <v>1</v>
      </c>
      <c r="E39" s="17">
        <f t="shared" ca="1" si="12"/>
        <v>1</v>
      </c>
      <c r="F39" s="17">
        <f t="shared" ca="1" si="12"/>
        <v>1</v>
      </c>
      <c r="G39" s="17">
        <f t="shared" ca="1" si="12"/>
        <v>1</v>
      </c>
      <c r="H39" s="17">
        <f t="shared" ca="1" si="12"/>
        <v>1</v>
      </c>
      <c r="I39" s="17">
        <f t="shared" ca="1" si="12"/>
        <v>1</v>
      </c>
      <c r="J39" s="17">
        <f t="shared" ca="1" si="12"/>
        <v>1</v>
      </c>
      <c r="K39" s="17">
        <f t="shared" ca="1" si="12"/>
        <v>1</v>
      </c>
      <c r="L39" s="17">
        <f t="shared" ca="1" si="12"/>
        <v>1</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L38"/>
  <sheetViews>
    <sheetView workbookViewId="0">
      <selection activeCell="L4" sqref="L4"/>
    </sheetView>
  </sheetViews>
  <sheetFormatPr defaultColWidth="8.85546875" defaultRowHeight="15"/>
  <cols>
    <col min="1" max="1" width="26.42578125" customWidth="1"/>
    <col min="2" max="2" width="15.85546875" customWidth="1"/>
    <col min="3" max="3" width="22.42578125" customWidth="1"/>
    <col min="4" max="4" width="18.42578125" customWidth="1"/>
    <col min="5" max="5" width="27.140625" style="2" customWidth="1"/>
    <col min="7" max="7" width="29.42578125" bestFit="1" customWidth="1"/>
    <col min="9" max="9" width="23.42578125" customWidth="1"/>
    <col min="12" max="12" width="41.85546875" customWidth="1"/>
  </cols>
  <sheetData>
    <row r="2" spans="1:12">
      <c r="A2" s="1" t="s">
        <v>34</v>
      </c>
      <c r="L2" s="3" t="s">
        <v>1928</v>
      </c>
    </row>
    <row r="4" spans="1:12" ht="14.45" customHeight="1">
      <c r="A4" s="70" t="s">
        <v>20</v>
      </c>
      <c r="C4" s="80" t="s">
        <v>24</v>
      </c>
      <c r="G4" s="71" t="s">
        <v>23</v>
      </c>
      <c r="I4" s="71" t="s">
        <v>8</v>
      </c>
      <c r="L4" s="67" t="s">
        <v>1929</v>
      </c>
    </row>
    <row r="5" spans="1:12">
      <c r="A5" s="2" t="s">
        <v>88</v>
      </c>
      <c r="C5" s="73" t="s">
        <v>32</v>
      </c>
      <c r="G5" s="5" t="s">
        <v>3</v>
      </c>
      <c r="I5" s="5" t="s">
        <v>7</v>
      </c>
    </row>
    <row r="6" spans="1:12">
      <c r="A6" s="2" t="s">
        <v>89</v>
      </c>
      <c r="C6" s="74" t="s">
        <v>10</v>
      </c>
      <c r="G6" s="6" t="s">
        <v>33</v>
      </c>
      <c r="I6" s="6" t="s">
        <v>135</v>
      </c>
    </row>
    <row r="7" spans="1:12">
      <c r="I7" s="5" t="s">
        <v>117</v>
      </c>
    </row>
    <row r="8" spans="1:12">
      <c r="A8" s="70" t="s">
        <v>90</v>
      </c>
      <c r="I8" s="6" t="s">
        <v>118</v>
      </c>
    </row>
    <row r="9" spans="1:12">
      <c r="A9" s="2" t="s">
        <v>91</v>
      </c>
      <c r="C9" s="72" t="s">
        <v>44</v>
      </c>
      <c r="D9" s="75" t="s">
        <v>988</v>
      </c>
      <c r="E9" s="90" t="s">
        <v>1034</v>
      </c>
      <c r="G9" s="71" t="s">
        <v>100</v>
      </c>
      <c r="I9" s="5" t="s">
        <v>4</v>
      </c>
    </row>
    <row r="10" spans="1:12">
      <c r="A10" s="2" t="s">
        <v>92</v>
      </c>
      <c r="C10" s="83">
        <v>400000</v>
      </c>
      <c r="D10" s="2">
        <v>1</v>
      </c>
      <c r="E10" s="2" t="s">
        <v>1032</v>
      </c>
      <c r="G10" s="5" t="s">
        <v>101</v>
      </c>
      <c r="I10" s="6" t="s">
        <v>119</v>
      </c>
    </row>
    <row r="11" spans="1:12">
      <c r="C11" s="83">
        <v>2500000</v>
      </c>
      <c r="D11" s="2">
        <v>2</v>
      </c>
      <c r="E11" s="2" t="s">
        <v>1035</v>
      </c>
      <c r="G11" s="6" t="s">
        <v>107</v>
      </c>
    </row>
    <row r="12" spans="1:12">
      <c r="A12" s="70" t="s">
        <v>87</v>
      </c>
      <c r="C12" s="83">
        <v>800000</v>
      </c>
      <c r="D12" s="2">
        <v>3</v>
      </c>
      <c r="E12" s="2" t="s">
        <v>1030</v>
      </c>
      <c r="I12" s="71" t="s">
        <v>141</v>
      </c>
    </row>
    <row r="13" spans="1:12">
      <c r="A13" s="2" t="s">
        <v>5</v>
      </c>
      <c r="C13" s="83">
        <v>500000</v>
      </c>
      <c r="D13" s="2">
        <v>4</v>
      </c>
      <c r="E13" s="2" t="s">
        <v>1031</v>
      </c>
      <c r="I13" s="5" t="s">
        <v>139</v>
      </c>
    </row>
    <row r="14" spans="1:12">
      <c r="A14" s="2" t="s">
        <v>6</v>
      </c>
      <c r="C14" s="83">
        <v>800000</v>
      </c>
      <c r="D14" s="2">
        <v>5</v>
      </c>
      <c r="E14" s="2" t="s">
        <v>1050</v>
      </c>
      <c r="G14" s="71" t="s">
        <v>99</v>
      </c>
      <c r="I14" s="6" t="s">
        <v>140</v>
      </c>
    </row>
    <row r="15" spans="1:12">
      <c r="C15" s="83">
        <v>100000</v>
      </c>
      <c r="D15" s="2">
        <v>6</v>
      </c>
      <c r="E15" s="2" t="s">
        <v>1051</v>
      </c>
      <c r="G15" s="5" t="s">
        <v>102</v>
      </c>
    </row>
    <row r="16" spans="1:12">
      <c r="A16" s="9" t="s">
        <v>35</v>
      </c>
      <c r="C16" s="83">
        <v>50000</v>
      </c>
      <c r="D16" s="2">
        <v>7</v>
      </c>
      <c r="E16" s="2" t="s">
        <v>1033</v>
      </c>
      <c r="G16" s="6" t="s">
        <v>103</v>
      </c>
    </row>
    <row r="17" spans="1:9">
      <c r="B17" s="79" t="s">
        <v>985</v>
      </c>
      <c r="C17" s="84">
        <f>INDEX(C10:C16,MATCH(D17,D10:D16,0),1)</f>
        <v>400000</v>
      </c>
      <c r="D17" s="50">
        <f>INDEX('Disease - Therapeutic Class'!C:C,MATCH('Population Estimator Tool'!C19,'Disease - Therapeutic Class'!B:B,0),1)</f>
        <v>1</v>
      </c>
      <c r="E17" s="50" t="str">
        <f>INDEX(E10:E16,MATCH(D17,D10:D16,0),1)</f>
        <v>CAR-T/TCR</v>
      </c>
      <c r="G17" t="s">
        <v>104</v>
      </c>
      <c r="I17" s="1"/>
    </row>
    <row r="18" spans="1:9">
      <c r="A18" s="70" t="s">
        <v>20</v>
      </c>
    </row>
    <row r="19" spans="1:9">
      <c r="A19" s="2" t="s">
        <v>5</v>
      </c>
      <c r="G19" s="71" t="s">
        <v>106</v>
      </c>
    </row>
    <row r="20" spans="1:9">
      <c r="A20" s="2" t="s">
        <v>6</v>
      </c>
      <c r="G20" s="5" t="s">
        <v>105</v>
      </c>
    </row>
    <row r="21" spans="1:9">
      <c r="G21" s="6" t="s">
        <v>45</v>
      </c>
    </row>
    <row r="22" spans="1:9">
      <c r="A22" s="70" t="s">
        <v>87</v>
      </c>
    </row>
    <row r="23" spans="1:9">
      <c r="A23" s="2" t="s">
        <v>88</v>
      </c>
    </row>
    <row r="24" spans="1:9">
      <c r="A24" s="2" t="s">
        <v>89</v>
      </c>
    </row>
    <row r="26" spans="1:9">
      <c r="A26" s="72" t="s">
        <v>980</v>
      </c>
      <c r="B26" s="75" t="s">
        <v>996</v>
      </c>
      <c r="C26" s="75" t="s">
        <v>997</v>
      </c>
    </row>
    <row r="27" spans="1:9">
      <c r="A27" s="2" t="s">
        <v>981</v>
      </c>
      <c r="B27" s="2">
        <v>1</v>
      </c>
      <c r="C27" s="2">
        <v>2</v>
      </c>
    </row>
    <row r="28" spans="1:9">
      <c r="A28" s="2" t="s">
        <v>982</v>
      </c>
      <c r="B28" s="2">
        <v>3</v>
      </c>
      <c r="C28" s="2">
        <v>4</v>
      </c>
    </row>
    <row r="29" spans="1:9">
      <c r="A29" s="2" t="s">
        <v>987</v>
      </c>
      <c r="B29" s="2">
        <v>5</v>
      </c>
      <c r="C29" s="2">
        <v>6</v>
      </c>
    </row>
    <row r="30" spans="1:9">
      <c r="A30" s="2" t="s">
        <v>990</v>
      </c>
      <c r="B30" s="2">
        <v>7</v>
      </c>
      <c r="C30" s="2">
        <v>8</v>
      </c>
    </row>
    <row r="31" spans="1:9">
      <c r="A31" s="4" t="s">
        <v>985</v>
      </c>
      <c r="B31" s="4">
        <f>INDEX(B27:B30,MATCH('Population Estimator Tool'!$B$37,$A$27:$A$30,0),1)</f>
        <v>5</v>
      </c>
      <c r="C31" s="4">
        <f>INDEX(C27:C30,MATCH('Population Estimator Tool'!$B$37,$A$27:$A$30,0),1)</f>
        <v>6</v>
      </c>
    </row>
    <row r="33" spans="1:3">
      <c r="A33" s="72" t="s">
        <v>994</v>
      </c>
      <c r="B33" s="75" t="s">
        <v>995</v>
      </c>
      <c r="C33" s="75" t="s">
        <v>993</v>
      </c>
    </row>
    <row r="34" spans="1:3">
      <c r="A34" t="s">
        <v>981</v>
      </c>
      <c r="B34" s="2">
        <v>1</v>
      </c>
      <c r="C34" s="81">
        <v>63200000</v>
      </c>
    </row>
    <row r="35" spans="1:3">
      <c r="A35" t="s">
        <v>982</v>
      </c>
      <c r="B35" s="2">
        <v>2</v>
      </c>
      <c r="C35" s="81">
        <v>70225000</v>
      </c>
    </row>
    <row r="36" spans="1:3">
      <c r="A36" t="s">
        <v>987</v>
      </c>
      <c r="B36" s="2">
        <v>3</v>
      </c>
      <c r="C36" s="81">
        <f>C37-C34-C35</f>
        <v>198075000</v>
      </c>
    </row>
    <row r="37" spans="1:3">
      <c r="A37" t="s">
        <v>990</v>
      </c>
      <c r="B37" s="2">
        <v>4</v>
      </c>
      <c r="C37" s="81">
        <v>331500000</v>
      </c>
    </row>
    <row r="38" spans="1:3">
      <c r="A38" s="4" t="s">
        <v>985</v>
      </c>
      <c r="B38" s="4">
        <f>INDEX(B34:B37,MATCH('Population Estimator Tool'!$B$37,$A$34:$A$37,0),1)</f>
        <v>3</v>
      </c>
      <c r="C38" s="82">
        <f>INDEX(C34:C37,MATCH('Population Estimator Tool'!$B$37,$A$34:$A$37,0),1)</f>
        <v>198075000</v>
      </c>
    </row>
  </sheetData>
  <pageMargins left="0.7" right="0.7" top="0.75" bottom="0.75" header="0.3" footer="0.3"/>
  <pageSetup orientation="portrait" horizontalDpi="4294967292" verticalDpi="4294967292"/>
  <tableParts count="5">
    <tablePart r:id="rId1"/>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49"/>
  <sheetViews>
    <sheetView topLeftCell="F1" workbookViewId="0">
      <pane ySplit="1" topLeftCell="A2" activePane="bottomLeft" state="frozen"/>
      <selection pane="bottomLeft" activeCell="J23" sqref="J23"/>
    </sheetView>
  </sheetViews>
  <sheetFormatPr defaultColWidth="8.85546875" defaultRowHeight="15"/>
  <cols>
    <col min="1" max="1" width="1.42578125" customWidth="1"/>
    <col min="2" max="2" width="19.42578125" customWidth="1"/>
    <col min="3" max="3" width="2.42578125" customWidth="1"/>
    <col min="4" max="4" width="34.42578125" customWidth="1"/>
    <col min="5" max="5" width="25.42578125" customWidth="1"/>
    <col min="6" max="6" width="37.42578125" customWidth="1"/>
    <col min="7" max="7" width="35" customWidth="1"/>
    <col min="8" max="8" width="26.42578125" customWidth="1"/>
    <col min="9" max="9" width="40.42578125" customWidth="1"/>
    <col min="10" max="10" width="28.42578125" customWidth="1"/>
    <col min="11" max="11" width="32.42578125" customWidth="1"/>
    <col min="12" max="12" width="43.42578125" customWidth="1"/>
    <col min="13" max="13" width="37" customWidth="1"/>
  </cols>
  <sheetData>
    <row r="1" spans="2:13">
      <c r="D1" s="2">
        <f>MAX(3,COUNTIF(D2:D997,"&gt;"&amp;"a")+1)</f>
        <v>20</v>
      </c>
      <c r="E1" s="2">
        <f>MAX(3,COUNTIF(E2:E998,"&gt;"&amp;"a")+1)</f>
        <v>49</v>
      </c>
      <c r="F1" s="2">
        <f>MAX(3,COUNTIF(F2:F996,"&gt;"&amp;"a")+1)</f>
        <v>8</v>
      </c>
      <c r="G1" s="2">
        <f>MAX(3,COUNTIF(G2:G1001,"&gt;"&amp;"a")+1)</f>
        <v>10</v>
      </c>
      <c r="H1" s="2">
        <f>MAX(3,COUNTIF(H2:H996,"&gt;"&amp;"a")+1)</f>
        <v>10</v>
      </c>
      <c r="I1" s="2">
        <f>MAX(3,COUNTIF(I2:I999,"&gt;"&amp;"a")+1)</f>
        <v>27</v>
      </c>
      <c r="J1" s="2">
        <f>MAX(3,COUNTIF(J2:J997,"&gt;"&amp;"a")+1)</f>
        <v>6</v>
      </c>
      <c r="K1" s="2">
        <f>MAX(3,COUNTIF(K2:K998,"&gt;"&amp;"a")+1)</f>
        <v>25</v>
      </c>
      <c r="L1" s="2">
        <f>MAX(3,COUNTIF(L2:L1000,"&gt;"&amp;"a")+1)</f>
        <v>15</v>
      </c>
      <c r="M1" s="2">
        <f>MAX(3,COUNTIF(M2:M999,"&gt;"&amp;"a")+1)</f>
        <v>15</v>
      </c>
    </row>
    <row r="2" spans="2:13">
      <c r="D2" s="28" t="s">
        <v>46</v>
      </c>
      <c r="E2" s="29" t="s">
        <v>47</v>
      </c>
      <c r="F2" s="29" t="s">
        <v>37</v>
      </c>
      <c r="G2" s="29" t="s">
        <v>48</v>
      </c>
      <c r="H2" s="29" t="s">
        <v>49</v>
      </c>
      <c r="I2" s="29" t="s">
        <v>50</v>
      </c>
      <c r="J2" s="29" t="s">
        <v>36</v>
      </c>
      <c r="K2" s="29" t="s">
        <v>51</v>
      </c>
      <c r="L2" s="29" t="s">
        <v>52</v>
      </c>
      <c r="M2" s="30" t="s">
        <v>53</v>
      </c>
    </row>
    <row r="3" spans="2:13">
      <c r="B3" s="4" t="s">
        <v>196</v>
      </c>
      <c r="C3" s="2"/>
      <c r="D3" t="s">
        <v>266</v>
      </c>
      <c r="E3" t="s">
        <v>274</v>
      </c>
      <c r="F3" t="s">
        <v>198</v>
      </c>
      <c r="G3" t="s">
        <v>199</v>
      </c>
      <c r="H3" t="s">
        <v>2113</v>
      </c>
      <c r="I3" t="s">
        <v>612</v>
      </c>
      <c r="J3" t="s">
        <v>202</v>
      </c>
      <c r="K3" t="s">
        <v>55</v>
      </c>
      <c r="L3" t="s">
        <v>54</v>
      </c>
      <c r="M3" t="s">
        <v>1143</v>
      </c>
    </row>
    <row r="4" spans="2:13">
      <c r="B4" s="31" t="s">
        <v>46</v>
      </c>
      <c r="D4" t="s">
        <v>210</v>
      </c>
      <c r="E4" t="s">
        <v>465</v>
      </c>
      <c r="F4" t="s">
        <v>2114</v>
      </c>
      <c r="G4" t="s">
        <v>1940</v>
      </c>
      <c r="H4" t="s">
        <v>473</v>
      </c>
      <c r="I4" t="s">
        <v>2115</v>
      </c>
      <c r="J4" t="s">
        <v>56</v>
      </c>
      <c r="K4" t="s">
        <v>2117</v>
      </c>
      <c r="L4" t="s">
        <v>209</v>
      </c>
      <c r="M4" t="s">
        <v>2118</v>
      </c>
    </row>
    <row r="5" spans="2:13">
      <c r="B5" s="32" t="s">
        <v>47</v>
      </c>
      <c r="D5" t="s">
        <v>217</v>
      </c>
      <c r="E5" t="s">
        <v>288</v>
      </c>
      <c r="F5" t="s">
        <v>2119</v>
      </c>
      <c r="G5" t="s">
        <v>57</v>
      </c>
      <c r="H5" t="s">
        <v>2120</v>
      </c>
      <c r="I5" t="s">
        <v>206</v>
      </c>
      <c r="J5" t="s">
        <v>223</v>
      </c>
      <c r="K5" t="s">
        <v>208</v>
      </c>
      <c r="L5" t="s">
        <v>215</v>
      </c>
      <c r="M5" t="s">
        <v>2121</v>
      </c>
    </row>
    <row r="6" spans="2:13">
      <c r="B6" s="32" t="s">
        <v>37</v>
      </c>
      <c r="D6" t="s">
        <v>226</v>
      </c>
      <c r="E6" t="s">
        <v>211</v>
      </c>
      <c r="F6" t="s">
        <v>2122</v>
      </c>
      <c r="G6" t="s">
        <v>1941</v>
      </c>
      <c r="H6" t="s">
        <v>229</v>
      </c>
      <c r="I6" t="s">
        <v>622</v>
      </c>
      <c r="J6" t="s">
        <v>2123</v>
      </c>
      <c r="K6" t="s">
        <v>464</v>
      </c>
      <c r="L6" t="s">
        <v>59</v>
      </c>
      <c r="M6" t="s">
        <v>225</v>
      </c>
    </row>
    <row r="7" spans="2:13">
      <c r="B7" s="32" t="s">
        <v>48</v>
      </c>
      <c r="D7" t="s">
        <v>1930</v>
      </c>
      <c r="E7" t="s">
        <v>244</v>
      </c>
      <c r="F7" t="s">
        <v>219</v>
      </c>
      <c r="G7" t="s">
        <v>58</v>
      </c>
      <c r="H7" t="s">
        <v>1942</v>
      </c>
      <c r="I7" t="s">
        <v>469</v>
      </c>
      <c r="K7" t="s">
        <v>214</v>
      </c>
      <c r="L7" t="s">
        <v>232</v>
      </c>
      <c r="M7" t="s">
        <v>2124</v>
      </c>
    </row>
    <row r="8" spans="2:13">
      <c r="B8" s="32" t="s">
        <v>49</v>
      </c>
      <c r="D8" t="s">
        <v>269</v>
      </c>
      <c r="E8" t="s">
        <v>260</v>
      </c>
      <c r="F8" t="s">
        <v>1939</v>
      </c>
      <c r="G8" t="s">
        <v>2125</v>
      </c>
      <c r="H8" t="s">
        <v>2126</v>
      </c>
      <c r="I8" t="s">
        <v>623</v>
      </c>
      <c r="K8" t="s">
        <v>614</v>
      </c>
      <c r="L8" t="s">
        <v>237</v>
      </c>
      <c r="M8" t="s">
        <v>474</v>
      </c>
    </row>
    <row r="9" spans="2:13">
      <c r="B9" s="32" t="s">
        <v>50</v>
      </c>
      <c r="D9" t="s">
        <v>251</v>
      </c>
      <c r="E9" t="s">
        <v>218</v>
      </c>
      <c r="G9" t="s">
        <v>2127</v>
      </c>
      <c r="H9" t="s">
        <v>2128</v>
      </c>
      <c r="I9" t="s">
        <v>213</v>
      </c>
      <c r="K9" t="s">
        <v>2129</v>
      </c>
      <c r="L9" t="s">
        <v>2130</v>
      </c>
      <c r="M9" t="s">
        <v>2131</v>
      </c>
    </row>
    <row r="10" spans="2:13">
      <c r="B10" s="32" t="s">
        <v>36</v>
      </c>
      <c r="D10" t="s">
        <v>2132</v>
      </c>
      <c r="E10" t="s">
        <v>2133</v>
      </c>
      <c r="G10" t="s">
        <v>2134</v>
      </c>
      <c r="H10" t="s">
        <v>2135</v>
      </c>
      <c r="I10" t="s">
        <v>2155</v>
      </c>
      <c r="K10" t="s">
        <v>2137</v>
      </c>
      <c r="L10" t="s">
        <v>2138</v>
      </c>
      <c r="M10" t="s">
        <v>475</v>
      </c>
    </row>
    <row r="11" spans="2:13">
      <c r="B11" s="32" t="s">
        <v>51</v>
      </c>
      <c r="D11" t="s">
        <v>257</v>
      </c>
      <c r="E11" t="s">
        <v>1931</v>
      </c>
      <c r="I11" t="s">
        <v>2136</v>
      </c>
      <c r="K11" t="s">
        <v>2140</v>
      </c>
      <c r="L11" t="s">
        <v>638</v>
      </c>
      <c r="M11" t="s">
        <v>2141</v>
      </c>
    </row>
    <row r="12" spans="2:13">
      <c r="B12" s="32" t="s">
        <v>52</v>
      </c>
      <c r="D12" t="s">
        <v>2142</v>
      </c>
      <c r="E12" t="s">
        <v>272</v>
      </c>
      <c r="I12" t="s">
        <v>2139</v>
      </c>
      <c r="K12" t="s">
        <v>2144</v>
      </c>
      <c r="L12" t="s">
        <v>246</v>
      </c>
      <c r="M12" t="s">
        <v>649</v>
      </c>
    </row>
    <row r="13" spans="2:13">
      <c r="B13" s="33" t="s">
        <v>53</v>
      </c>
      <c r="D13" t="s">
        <v>2145</v>
      </c>
      <c r="E13" t="s">
        <v>1932</v>
      </c>
      <c r="I13" t="s">
        <v>2143</v>
      </c>
      <c r="K13" t="s">
        <v>2146</v>
      </c>
      <c r="L13" t="s">
        <v>249</v>
      </c>
      <c r="M13" t="s">
        <v>652</v>
      </c>
    </row>
    <row r="14" spans="2:13">
      <c r="D14" t="s">
        <v>2147</v>
      </c>
      <c r="E14" t="s">
        <v>252</v>
      </c>
      <c r="I14" t="s">
        <v>236</v>
      </c>
      <c r="K14" t="s">
        <v>2116</v>
      </c>
      <c r="L14" t="s">
        <v>256</v>
      </c>
      <c r="M14" t="s">
        <v>268</v>
      </c>
    </row>
    <row r="15" spans="2:13">
      <c r="D15" t="s">
        <v>2149</v>
      </c>
      <c r="E15" t="s">
        <v>2150</v>
      </c>
      <c r="I15" t="s">
        <v>2148</v>
      </c>
      <c r="K15" t="s">
        <v>470</v>
      </c>
      <c r="L15" t="s">
        <v>1946</v>
      </c>
      <c r="M15" t="s">
        <v>479</v>
      </c>
    </row>
    <row r="16" spans="2:13">
      <c r="D16" t="s">
        <v>243</v>
      </c>
      <c r="E16" t="s">
        <v>263</v>
      </c>
      <c r="I16" t="s">
        <v>472</v>
      </c>
      <c r="K16" t="s">
        <v>2151</v>
      </c>
    </row>
    <row r="17" spans="2:11">
      <c r="D17" t="s">
        <v>466</v>
      </c>
      <c r="E17" t="s">
        <v>1933</v>
      </c>
      <c r="I17" t="s">
        <v>2152</v>
      </c>
      <c r="K17" t="s">
        <v>2153</v>
      </c>
    </row>
    <row r="18" spans="2:11">
      <c r="B18" s="2"/>
      <c r="D18" t="s">
        <v>271</v>
      </c>
      <c r="E18" t="s">
        <v>227</v>
      </c>
      <c r="I18" t="s">
        <v>2154</v>
      </c>
      <c r="K18" t="s">
        <v>635</v>
      </c>
    </row>
    <row r="19" spans="2:11">
      <c r="D19" t="s">
        <v>273</v>
      </c>
      <c r="E19" t="s">
        <v>233</v>
      </c>
      <c r="I19" t="s">
        <v>2156</v>
      </c>
      <c r="K19" t="s">
        <v>60</v>
      </c>
    </row>
    <row r="20" spans="2:11">
      <c r="D20" t="s">
        <v>275</v>
      </c>
      <c r="E20" t="s">
        <v>276</v>
      </c>
      <c r="I20" t="s">
        <v>2157</v>
      </c>
      <c r="K20" t="s">
        <v>642</v>
      </c>
    </row>
    <row r="21" spans="2:11">
      <c r="E21" t="s">
        <v>1934</v>
      </c>
      <c r="I21" t="s">
        <v>264</v>
      </c>
      <c r="K21" t="s">
        <v>2159</v>
      </c>
    </row>
    <row r="22" spans="2:11">
      <c r="E22" t="s">
        <v>284</v>
      </c>
      <c r="I22" t="s">
        <v>2158</v>
      </c>
      <c r="K22" t="s">
        <v>1944</v>
      </c>
    </row>
    <row r="23" spans="2:11">
      <c r="E23" t="s">
        <v>2161</v>
      </c>
      <c r="I23" t="s">
        <v>2160</v>
      </c>
      <c r="K23" t="s">
        <v>1945</v>
      </c>
    </row>
    <row r="24" spans="2:11">
      <c r="E24" t="s">
        <v>279</v>
      </c>
      <c r="I24" t="s">
        <v>477</v>
      </c>
      <c r="K24" t="s">
        <v>255</v>
      </c>
    </row>
    <row r="25" spans="2:11">
      <c r="E25" t="s">
        <v>1935</v>
      </c>
      <c r="I25" t="s">
        <v>2162</v>
      </c>
      <c r="K25" t="s">
        <v>648</v>
      </c>
    </row>
    <row r="26" spans="2:11">
      <c r="E26" t="s">
        <v>282</v>
      </c>
      <c r="I26" t="s">
        <v>2163</v>
      </c>
    </row>
    <row r="27" spans="2:11">
      <c r="E27" t="s">
        <v>283</v>
      </c>
      <c r="I27" t="s">
        <v>1943</v>
      </c>
    </row>
    <row r="28" spans="2:11">
      <c r="E28" t="s">
        <v>280</v>
      </c>
    </row>
    <row r="29" spans="2:11">
      <c r="E29" t="s">
        <v>277</v>
      </c>
    </row>
    <row r="30" spans="2:11">
      <c r="E30" t="s">
        <v>204</v>
      </c>
    </row>
    <row r="31" spans="2:11">
      <c r="E31" t="s">
        <v>238</v>
      </c>
    </row>
    <row r="32" spans="2:11">
      <c r="E32" t="s">
        <v>267</v>
      </c>
    </row>
    <row r="33" spans="5:5">
      <c r="E33" t="s">
        <v>247</v>
      </c>
    </row>
    <row r="34" spans="5:5">
      <c r="E34" t="s">
        <v>285</v>
      </c>
    </row>
    <row r="35" spans="5:5">
      <c r="E35" t="s">
        <v>258</v>
      </c>
    </row>
    <row r="36" spans="5:5">
      <c r="E36" t="s">
        <v>287</v>
      </c>
    </row>
    <row r="37" spans="5:5">
      <c r="E37" t="s">
        <v>286</v>
      </c>
    </row>
    <row r="38" spans="5:5">
      <c r="E38" t="s">
        <v>290</v>
      </c>
    </row>
    <row r="39" spans="5:5">
      <c r="E39" t="s">
        <v>291</v>
      </c>
    </row>
    <row r="40" spans="5:5">
      <c r="E40" t="s">
        <v>1936</v>
      </c>
    </row>
    <row r="41" spans="5:5">
      <c r="E41" t="s">
        <v>292</v>
      </c>
    </row>
    <row r="42" spans="5:5">
      <c r="E42" t="s">
        <v>289</v>
      </c>
    </row>
    <row r="43" spans="5:5">
      <c r="E43" t="s">
        <v>197</v>
      </c>
    </row>
    <row r="44" spans="5:5">
      <c r="E44" t="s">
        <v>270</v>
      </c>
    </row>
    <row r="45" spans="5:5">
      <c r="E45" t="s">
        <v>278</v>
      </c>
    </row>
    <row r="46" spans="5:5">
      <c r="E46" t="s">
        <v>467</v>
      </c>
    </row>
    <row r="47" spans="5:5">
      <c r="E47" t="s">
        <v>1937</v>
      </c>
    </row>
    <row r="48" spans="5:5">
      <c r="E48" t="s">
        <v>1938</v>
      </c>
    </row>
    <row r="49" spans="5:5">
      <c r="E49" t="s">
        <v>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070D-9EC1-4A8E-AF3C-92AB95956F3B}">
  <sheetPr codeName="Sheet14"/>
  <dimension ref="A1:AB167"/>
  <sheetViews>
    <sheetView workbookViewId="0">
      <pane xSplit="1" ySplit="2" topLeftCell="D129" activePane="bottomRight" state="frozen"/>
      <selection pane="topRight" activeCell="B1" sqref="B1"/>
      <selection pane="bottomLeft" activeCell="A3" sqref="A3"/>
      <selection pane="bottomRight" activeCell="A59" sqref="A59:XFD60"/>
    </sheetView>
  </sheetViews>
  <sheetFormatPr defaultColWidth="8.5703125" defaultRowHeight="15"/>
  <cols>
    <col min="1" max="1" width="48.85546875" style="144" customWidth="1"/>
    <col min="2" max="2" width="32.5703125" style="231" customWidth="1"/>
    <col min="3" max="3" width="37.5703125" style="231" customWidth="1"/>
    <col min="4" max="4" width="13.140625" style="269" customWidth="1"/>
    <col min="5" max="5" width="14.85546875" style="269" customWidth="1"/>
    <col min="6" max="6" width="37.5703125" style="231" customWidth="1"/>
    <col min="7" max="7" width="27.85546875" style="231" customWidth="1"/>
    <col min="8" max="8" width="37.5703125" style="231" customWidth="1"/>
    <col min="9" max="9" width="12.42578125" style="269" customWidth="1"/>
    <col min="10" max="10" width="12.85546875" style="269" customWidth="1"/>
    <col min="11" max="11" width="36.5703125" style="231" customWidth="1"/>
    <col min="12" max="12" width="12.42578125" style="269" customWidth="1"/>
    <col min="13" max="13" width="13.42578125" style="269" customWidth="1"/>
  </cols>
  <sheetData>
    <row r="1" spans="1:28" ht="30.75" thickBot="1">
      <c r="A1" s="239" t="s">
        <v>297</v>
      </c>
      <c r="B1" s="223" t="s">
        <v>1700</v>
      </c>
      <c r="C1" s="224" t="s">
        <v>1073</v>
      </c>
      <c r="D1" s="256" t="s">
        <v>1074</v>
      </c>
      <c r="E1" s="257" t="s">
        <v>1075</v>
      </c>
      <c r="F1" s="239" t="s">
        <v>1076</v>
      </c>
      <c r="G1" s="224" t="s">
        <v>1077</v>
      </c>
      <c r="H1" s="239" t="s">
        <v>1078</v>
      </c>
      <c r="I1" s="458" t="s">
        <v>2</v>
      </c>
      <c r="J1" s="459"/>
      <c r="K1" s="224" t="s">
        <v>1079</v>
      </c>
      <c r="L1" s="458" t="s">
        <v>65</v>
      </c>
      <c r="M1" s="460"/>
      <c r="N1" s="202"/>
      <c r="O1" s="203" t="s">
        <v>1080</v>
      </c>
      <c r="P1" s="203"/>
      <c r="Q1" s="203"/>
      <c r="R1" s="203"/>
      <c r="S1" s="203"/>
      <c r="T1" s="203"/>
      <c r="U1" s="203"/>
      <c r="V1" s="203"/>
      <c r="W1" s="203"/>
      <c r="X1" s="203"/>
      <c r="Y1" s="203"/>
      <c r="Z1" s="203"/>
      <c r="AA1" s="203"/>
      <c r="AB1" s="204"/>
    </row>
    <row r="2" spans="1:28" ht="16.5" thickBot="1">
      <c r="A2" s="240"/>
      <c r="B2" s="225"/>
      <c r="C2" s="226"/>
      <c r="D2" s="258" t="s">
        <v>1081</v>
      </c>
      <c r="E2" s="259" t="s">
        <v>1081</v>
      </c>
      <c r="F2" s="240"/>
      <c r="G2" s="226"/>
      <c r="H2" s="240"/>
      <c r="I2" s="271" t="s">
        <v>1082</v>
      </c>
      <c r="J2" s="272" t="s">
        <v>1083</v>
      </c>
      <c r="K2" s="226"/>
      <c r="L2" s="279" t="s">
        <v>1082</v>
      </c>
      <c r="M2" s="280" t="s">
        <v>1083</v>
      </c>
      <c r="N2" s="205"/>
      <c r="O2" s="206"/>
      <c r="P2" s="206"/>
      <c r="Q2" s="206"/>
      <c r="R2" s="206"/>
      <c r="S2" s="206"/>
      <c r="T2" s="206"/>
      <c r="U2" s="206"/>
      <c r="V2" s="206"/>
      <c r="W2" s="206"/>
      <c r="X2" s="206"/>
      <c r="Y2" s="206"/>
      <c r="Z2" s="206"/>
      <c r="AA2" s="206"/>
      <c r="AB2" s="207"/>
    </row>
    <row r="3" spans="1:28" ht="30">
      <c r="A3" s="247" t="s">
        <v>54</v>
      </c>
      <c r="B3" s="227" t="s">
        <v>1735</v>
      </c>
      <c r="C3" s="228" t="s">
        <v>1084</v>
      </c>
      <c r="D3" s="260">
        <v>5</v>
      </c>
      <c r="E3" s="261">
        <v>1</v>
      </c>
      <c r="F3" s="241" t="s">
        <v>102</v>
      </c>
      <c r="G3" s="228"/>
      <c r="H3" s="241" t="s">
        <v>1085</v>
      </c>
      <c r="I3" s="273">
        <v>0.4</v>
      </c>
      <c r="J3" s="274">
        <v>7</v>
      </c>
      <c r="K3" s="228" t="s">
        <v>1086</v>
      </c>
      <c r="L3" s="281">
        <v>0.3</v>
      </c>
      <c r="M3" s="282">
        <v>5</v>
      </c>
      <c r="N3" s="208" t="s">
        <v>1087</v>
      </c>
      <c r="AB3" s="209"/>
    </row>
    <row r="4" spans="1:28" ht="45">
      <c r="A4" s="248" t="s">
        <v>612</v>
      </c>
      <c r="B4" s="229" t="s">
        <v>1731</v>
      </c>
      <c r="C4" s="222" t="s">
        <v>1732</v>
      </c>
      <c r="D4" s="262">
        <v>2</v>
      </c>
      <c r="E4" s="263">
        <v>4</v>
      </c>
      <c r="F4" s="242" t="s">
        <v>1088</v>
      </c>
      <c r="G4" s="243" t="s">
        <v>1089</v>
      </c>
      <c r="H4" s="242" t="s">
        <v>1090</v>
      </c>
      <c r="I4" s="275">
        <v>0.8</v>
      </c>
      <c r="J4" s="276">
        <v>3</v>
      </c>
      <c r="K4" s="222" t="s">
        <v>1090</v>
      </c>
      <c r="L4" s="283">
        <v>0.7</v>
      </c>
      <c r="M4" s="284">
        <v>3</v>
      </c>
      <c r="N4" s="208" t="s">
        <v>1091</v>
      </c>
      <c r="P4" s="210" t="s">
        <v>1092</v>
      </c>
      <c r="R4" t="s">
        <v>1093</v>
      </c>
      <c r="AB4" s="209"/>
    </row>
    <row r="5" spans="1:28" ht="60">
      <c r="A5" s="248" t="s">
        <v>55</v>
      </c>
      <c r="B5" s="229" t="s">
        <v>1733</v>
      </c>
      <c r="C5" s="222" t="s">
        <v>1719</v>
      </c>
      <c r="D5" s="262">
        <v>1</v>
      </c>
      <c r="E5" s="263">
        <v>4</v>
      </c>
      <c r="F5" s="242" t="s">
        <v>1094</v>
      </c>
      <c r="G5" s="243" t="s">
        <v>1095</v>
      </c>
      <c r="H5" s="242" t="s">
        <v>1096</v>
      </c>
      <c r="I5" s="275">
        <v>0.9</v>
      </c>
      <c r="J5" s="276">
        <v>3</v>
      </c>
      <c r="K5" s="222" t="s">
        <v>1096</v>
      </c>
      <c r="L5" s="283">
        <v>0.9</v>
      </c>
      <c r="M5" s="284">
        <v>3</v>
      </c>
      <c r="N5" s="208" t="s">
        <v>1097</v>
      </c>
      <c r="AB5" s="209"/>
    </row>
    <row r="6" spans="1:28">
      <c r="A6" s="248" t="s">
        <v>463</v>
      </c>
      <c r="B6" s="229" t="s">
        <v>1705</v>
      </c>
      <c r="C6" s="222" t="s">
        <v>1098</v>
      </c>
      <c r="D6" s="262">
        <v>4</v>
      </c>
      <c r="E6" s="263">
        <v>1</v>
      </c>
      <c r="F6" s="242" t="s">
        <v>102</v>
      </c>
      <c r="G6" s="222" t="s">
        <v>1099</v>
      </c>
      <c r="H6" s="249"/>
      <c r="I6" s="275">
        <v>0.01</v>
      </c>
      <c r="J6" s="276">
        <v>7</v>
      </c>
      <c r="K6" s="222" t="s">
        <v>1100</v>
      </c>
      <c r="L6" s="283">
        <v>0.01</v>
      </c>
      <c r="M6" s="284">
        <v>7</v>
      </c>
      <c r="N6" s="211"/>
      <c r="AB6" s="209"/>
    </row>
    <row r="7" spans="1:28" ht="45">
      <c r="A7" s="248" t="s">
        <v>203</v>
      </c>
      <c r="B7" s="229" t="s">
        <v>1734</v>
      </c>
      <c r="C7" s="222" t="s">
        <v>1101</v>
      </c>
      <c r="D7" s="262">
        <v>3</v>
      </c>
      <c r="E7" s="263">
        <v>3</v>
      </c>
      <c r="F7" s="242" t="s">
        <v>1102</v>
      </c>
      <c r="G7" s="243">
        <v>127000</v>
      </c>
      <c r="H7" s="242" t="s">
        <v>1103</v>
      </c>
      <c r="I7" s="275">
        <v>0.5</v>
      </c>
      <c r="J7" s="276">
        <v>5</v>
      </c>
      <c r="K7" s="222" t="s">
        <v>1104</v>
      </c>
      <c r="L7" s="283">
        <v>0.5</v>
      </c>
      <c r="M7" s="284">
        <v>5</v>
      </c>
      <c r="N7" s="212" t="s">
        <v>1105</v>
      </c>
      <c r="P7" s="210" t="s">
        <v>1106</v>
      </c>
      <c r="R7" s="210" t="s">
        <v>1107</v>
      </c>
      <c r="T7" s="210" t="s">
        <v>1108</v>
      </c>
      <c r="V7" t="s">
        <v>1109</v>
      </c>
      <c r="AB7" s="209"/>
    </row>
    <row r="8" spans="1:28" ht="45">
      <c r="A8" s="248" t="s">
        <v>208</v>
      </c>
      <c r="B8" s="229" t="s">
        <v>1740</v>
      </c>
      <c r="C8" s="222" t="s">
        <v>1717</v>
      </c>
      <c r="D8" s="262">
        <v>1</v>
      </c>
      <c r="E8" s="263">
        <v>4</v>
      </c>
      <c r="F8" s="242" t="s">
        <v>102</v>
      </c>
      <c r="G8" s="222"/>
      <c r="H8" s="242" t="s">
        <v>1110</v>
      </c>
      <c r="I8" s="275">
        <v>0.8</v>
      </c>
      <c r="J8" s="276">
        <v>3</v>
      </c>
      <c r="K8" s="222" t="s">
        <v>1111</v>
      </c>
      <c r="L8" s="283">
        <v>0.6</v>
      </c>
      <c r="M8" s="284">
        <v>6</v>
      </c>
      <c r="N8" s="208" t="s">
        <v>1112</v>
      </c>
      <c r="AB8" s="209"/>
    </row>
    <row r="9" spans="1:28" ht="60">
      <c r="A9" s="248" t="s">
        <v>464</v>
      </c>
      <c r="B9" s="222" t="s">
        <v>1741</v>
      </c>
      <c r="C9" s="222" t="s">
        <v>1716</v>
      </c>
      <c r="D9" s="262">
        <v>2</v>
      </c>
      <c r="E9" s="263">
        <v>3</v>
      </c>
      <c r="F9" s="242" t="s">
        <v>1113</v>
      </c>
      <c r="G9" s="222" t="s">
        <v>1114</v>
      </c>
      <c r="H9" s="242" t="s">
        <v>1115</v>
      </c>
      <c r="I9" s="275">
        <v>0.8</v>
      </c>
      <c r="J9" s="276">
        <v>4</v>
      </c>
      <c r="K9" s="222" t="s">
        <v>1116</v>
      </c>
      <c r="L9" s="283">
        <v>0.6</v>
      </c>
      <c r="M9" s="284">
        <v>4</v>
      </c>
      <c r="N9" s="208" t="s">
        <v>1117</v>
      </c>
      <c r="P9" s="210" t="s">
        <v>1118</v>
      </c>
      <c r="R9" t="s">
        <v>1119</v>
      </c>
      <c r="AB9" s="209"/>
    </row>
    <row r="10" spans="1:28" ht="45">
      <c r="A10" s="248" t="s">
        <v>214</v>
      </c>
      <c r="B10" s="229" t="s">
        <v>1736</v>
      </c>
      <c r="C10" s="222" t="s">
        <v>1718</v>
      </c>
      <c r="D10" s="262">
        <v>1</v>
      </c>
      <c r="E10" s="263">
        <v>4</v>
      </c>
      <c r="F10" s="242" t="s">
        <v>1120</v>
      </c>
      <c r="G10" s="222" t="s">
        <v>1121</v>
      </c>
      <c r="H10" s="242" t="s">
        <v>1122</v>
      </c>
      <c r="I10" s="275">
        <v>0.9</v>
      </c>
      <c r="J10" s="276">
        <v>3</v>
      </c>
      <c r="K10" s="222" t="s">
        <v>1123</v>
      </c>
      <c r="L10" s="283">
        <v>0.6</v>
      </c>
      <c r="M10" s="284">
        <v>2</v>
      </c>
      <c r="N10" s="208" t="s">
        <v>1124</v>
      </c>
      <c r="AB10" s="209"/>
    </row>
    <row r="11" spans="1:28" ht="45">
      <c r="A11" s="248" t="s">
        <v>199</v>
      </c>
      <c r="B11" s="229" t="s">
        <v>1737</v>
      </c>
      <c r="C11" s="222" t="s">
        <v>1715</v>
      </c>
      <c r="D11" s="262">
        <v>2</v>
      </c>
      <c r="E11" s="263">
        <v>4</v>
      </c>
      <c r="F11" s="242" t="s">
        <v>1125</v>
      </c>
      <c r="G11" s="243" t="s">
        <v>1126</v>
      </c>
      <c r="H11" s="242" t="s">
        <v>1127</v>
      </c>
      <c r="I11" s="275">
        <v>0.9</v>
      </c>
      <c r="J11" s="276">
        <v>3</v>
      </c>
      <c r="K11" s="222"/>
      <c r="L11" s="283">
        <v>0.8</v>
      </c>
      <c r="M11" s="284">
        <v>6</v>
      </c>
      <c r="N11" s="208" t="s">
        <v>1128</v>
      </c>
      <c r="P11" t="s">
        <v>1129</v>
      </c>
      <c r="R11" t="s">
        <v>1130</v>
      </c>
      <c r="AB11" s="209"/>
    </row>
    <row r="12" spans="1:28" ht="30">
      <c r="A12" s="248" t="s">
        <v>613</v>
      </c>
      <c r="B12" s="229" t="s">
        <v>1738</v>
      </c>
      <c r="C12" s="222" t="s">
        <v>1084</v>
      </c>
      <c r="D12" s="262">
        <v>3</v>
      </c>
      <c r="E12" s="263">
        <v>3</v>
      </c>
      <c r="F12" s="242" t="s">
        <v>1131</v>
      </c>
      <c r="G12" s="243" t="s">
        <v>1132</v>
      </c>
      <c r="H12" s="242" t="s">
        <v>1133</v>
      </c>
      <c r="I12" s="275">
        <v>0.7</v>
      </c>
      <c r="J12" s="276">
        <v>5</v>
      </c>
      <c r="K12" s="222" t="s">
        <v>1133</v>
      </c>
      <c r="L12" s="283">
        <v>0.3</v>
      </c>
      <c r="M12" s="284">
        <v>5</v>
      </c>
      <c r="N12" s="208" t="s">
        <v>1134</v>
      </c>
      <c r="P12" t="s">
        <v>1135</v>
      </c>
      <c r="R12" t="s">
        <v>1136</v>
      </c>
      <c r="T12" t="s">
        <v>1137</v>
      </c>
      <c r="AB12" s="209"/>
    </row>
    <row r="13" spans="1:28" ht="60">
      <c r="A13" s="248" t="s">
        <v>198</v>
      </c>
      <c r="B13" s="230" t="s">
        <v>1705</v>
      </c>
      <c r="C13" s="222" t="s">
        <v>1138</v>
      </c>
      <c r="D13" s="262">
        <v>4</v>
      </c>
      <c r="E13" s="263">
        <v>1</v>
      </c>
      <c r="F13" s="242" t="s">
        <v>1139</v>
      </c>
      <c r="G13" s="243" t="s">
        <v>1140</v>
      </c>
      <c r="H13" s="242" t="s">
        <v>1141</v>
      </c>
      <c r="I13" s="275">
        <v>0.1</v>
      </c>
      <c r="J13" s="276">
        <v>5</v>
      </c>
      <c r="K13" s="242" t="s">
        <v>1141</v>
      </c>
      <c r="L13" s="283">
        <v>0.1</v>
      </c>
      <c r="M13" s="284">
        <v>5</v>
      </c>
      <c r="N13" s="208" t="s">
        <v>1142</v>
      </c>
      <c r="AB13" s="209"/>
    </row>
    <row r="14" spans="1:28" ht="75">
      <c r="A14" s="248" t="s">
        <v>1143</v>
      </c>
      <c r="B14" s="229" t="s">
        <v>1739</v>
      </c>
      <c r="C14" s="222" t="s">
        <v>1084</v>
      </c>
      <c r="D14" s="262">
        <v>4</v>
      </c>
      <c r="E14" s="263">
        <v>1</v>
      </c>
      <c r="F14" s="242" t="s">
        <v>1144</v>
      </c>
      <c r="G14" s="243" t="s">
        <v>1145</v>
      </c>
      <c r="H14" s="242" t="s">
        <v>1146</v>
      </c>
      <c r="I14" s="275">
        <v>0.7</v>
      </c>
      <c r="J14" s="276">
        <v>6</v>
      </c>
      <c r="K14" s="222" t="s">
        <v>1146</v>
      </c>
      <c r="L14" s="283">
        <v>0.7</v>
      </c>
      <c r="M14" s="284">
        <v>6</v>
      </c>
      <c r="N14" s="208" t="s">
        <v>1147</v>
      </c>
      <c r="P14" s="210" t="s">
        <v>1148</v>
      </c>
      <c r="R14" s="210" t="s">
        <v>1149</v>
      </c>
      <c r="AB14" s="209"/>
    </row>
    <row r="15" spans="1:28" ht="30">
      <c r="A15" s="248" t="s">
        <v>201</v>
      </c>
      <c r="B15" s="229" t="s">
        <v>1742</v>
      </c>
      <c r="C15" s="222" t="s">
        <v>1150</v>
      </c>
      <c r="D15" s="262">
        <v>2</v>
      </c>
      <c r="E15" s="263">
        <v>4</v>
      </c>
      <c r="F15" s="242" t="s">
        <v>1151</v>
      </c>
      <c r="G15" s="222" t="s">
        <v>1152</v>
      </c>
      <c r="H15" s="242" t="s">
        <v>1153</v>
      </c>
      <c r="I15" s="275">
        <v>0.9</v>
      </c>
      <c r="J15" s="276">
        <v>2</v>
      </c>
      <c r="K15" s="222" t="s">
        <v>1153</v>
      </c>
      <c r="L15" s="283">
        <v>0.7</v>
      </c>
      <c r="M15" s="284">
        <v>4</v>
      </c>
      <c r="N15" s="208" t="s">
        <v>1154</v>
      </c>
      <c r="AB15" s="209"/>
    </row>
    <row r="16" spans="1:28" ht="75">
      <c r="A16" s="248" t="s">
        <v>202</v>
      </c>
      <c r="B16" s="230" t="s">
        <v>1705</v>
      </c>
      <c r="C16" s="222" t="s">
        <v>1084</v>
      </c>
      <c r="D16" s="262">
        <v>3</v>
      </c>
      <c r="E16" s="263">
        <v>2</v>
      </c>
      <c r="F16" s="242" t="s">
        <v>1155</v>
      </c>
      <c r="G16" s="243" t="s">
        <v>1156</v>
      </c>
      <c r="H16" s="242" t="s">
        <v>1157</v>
      </c>
      <c r="I16" s="275">
        <v>0.2</v>
      </c>
      <c r="J16" s="276">
        <v>5</v>
      </c>
      <c r="K16" s="222" t="s">
        <v>1157</v>
      </c>
      <c r="L16" s="283">
        <v>0.2</v>
      </c>
      <c r="M16" s="284">
        <v>5</v>
      </c>
      <c r="N16" s="208" t="s">
        <v>1158</v>
      </c>
      <c r="P16" s="210" t="s">
        <v>1159</v>
      </c>
      <c r="R16" s="210" t="s">
        <v>1160</v>
      </c>
      <c r="AB16" s="209"/>
    </row>
    <row r="17" spans="1:28" ht="75">
      <c r="A17" s="248" t="s">
        <v>200</v>
      </c>
      <c r="B17" s="230" t="s">
        <v>1705</v>
      </c>
      <c r="C17" s="222" t="s">
        <v>1084</v>
      </c>
      <c r="D17" s="262">
        <v>3</v>
      </c>
      <c r="E17" s="263">
        <v>2</v>
      </c>
      <c r="F17" s="242" t="s">
        <v>1161</v>
      </c>
      <c r="G17" s="222" t="s">
        <v>1162</v>
      </c>
      <c r="H17" s="242" t="s">
        <v>1163</v>
      </c>
      <c r="I17" s="275">
        <v>0.7</v>
      </c>
      <c r="J17" s="276">
        <v>5</v>
      </c>
      <c r="K17" s="222" t="s">
        <v>1163</v>
      </c>
      <c r="L17" s="283">
        <v>0.2</v>
      </c>
      <c r="M17" s="284">
        <v>5</v>
      </c>
      <c r="N17" s="208" t="s">
        <v>1164</v>
      </c>
      <c r="AB17" s="209"/>
    </row>
    <row r="18" spans="1:28" ht="75">
      <c r="A18" s="248" t="s">
        <v>207</v>
      </c>
      <c r="B18" s="230" t="s">
        <v>1705</v>
      </c>
      <c r="C18" s="222" t="s">
        <v>1084</v>
      </c>
      <c r="D18" s="262">
        <v>3</v>
      </c>
      <c r="E18" s="263">
        <v>2</v>
      </c>
      <c r="F18" s="242" t="s">
        <v>1161</v>
      </c>
      <c r="G18" s="222" t="s">
        <v>1162</v>
      </c>
      <c r="H18" s="242" t="s">
        <v>1163</v>
      </c>
      <c r="I18" s="275">
        <v>0.3</v>
      </c>
      <c r="J18" s="276">
        <v>5</v>
      </c>
      <c r="K18" s="242" t="s">
        <v>1163</v>
      </c>
      <c r="L18" s="283">
        <v>0.3</v>
      </c>
      <c r="M18" s="284">
        <v>5</v>
      </c>
      <c r="N18" s="208" t="s">
        <v>1165</v>
      </c>
      <c r="AB18" s="209"/>
    </row>
    <row r="19" spans="1:28" ht="30">
      <c r="A19" s="248" t="s">
        <v>614</v>
      </c>
      <c r="B19" s="229" t="s">
        <v>1743</v>
      </c>
      <c r="C19" s="222" t="s">
        <v>1166</v>
      </c>
      <c r="D19" s="262">
        <v>2</v>
      </c>
      <c r="E19" s="263">
        <v>4</v>
      </c>
      <c r="F19" s="242" t="s">
        <v>102</v>
      </c>
      <c r="G19" s="222"/>
      <c r="H19" s="242" t="s">
        <v>1167</v>
      </c>
      <c r="I19" s="275">
        <v>0.7</v>
      </c>
      <c r="J19" s="276">
        <v>3</v>
      </c>
      <c r="K19" s="222" t="s">
        <v>1167</v>
      </c>
      <c r="L19" s="283">
        <v>0.7</v>
      </c>
      <c r="M19" s="284">
        <v>3</v>
      </c>
      <c r="N19" s="208" t="s">
        <v>1168</v>
      </c>
      <c r="P19" s="212" t="s">
        <v>1169</v>
      </c>
      <c r="AB19" s="209"/>
    </row>
    <row r="20" spans="1:28" ht="30">
      <c r="A20" s="248" t="s">
        <v>615</v>
      </c>
      <c r="B20" s="229" t="s">
        <v>1746</v>
      </c>
      <c r="C20" s="222" t="s">
        <v>1747</v>
      </c>
      <c r="D20" s="262">
        <v>2</v>
      </c>
      <c r="E20" s="263">
        <v>4</v>
      </c>
      <c r="F20" s="242" t="s">
        <v>1170</v>
      </c>
      <c r="G20" s="243">
        <v>4518</v>
      </c>
      <c r="H20" s="242" t="s">
        <v>1171</v>
      </c>
      <c r="I20" s="275">
        <v>0.7</v>
      </c>
      <c r="J20" s="276">
        <v>5</v>
      </c>
      <c r="K20" s="222" t="s">
        <v>1171</v>
      </c>
      <c r="L20" s="283">
        <v>0.5</v>
      </c>
      <c r="M20" s="284">
        <v>5</v>
      </c>
      <c r="N20" s="208" t="s">
        <v>1172</v>
      </c>
      <c r="P20" s="210" t="s">
        <v>1173</v>
      </c>
      <c r="R20" t="s">
        <v>1174</v>
      </c>
      <c r="T20" t="s">
        <v>1175</v>
      </c>
      <c r="AB20" s="209"/>
    </row>
    <row r="21" spans="1:28" ht="45">
      <c r="A21" s="248" t="s">
        <v>616</v>
      </c>
      <c r="B21" s="229" t="s">
        <v>1744</v>
      </c>
      <c r="C21" s="222" t="s">
        <v>1745</v>
      </c>
      <c r="D21" s="262">
        <v>3</v>
      </c>
      <c r="E21" s="263">
        <v>3</v>
      </c>
      <c r="F21" s="242" t="s">
        <v>102</v>
      </c>
      <c r="G21" s="222"/>
      <c r="H21" s="242" t="s">
        <v>1176</v>
      </c>
      <c r="I21" s="275">
        <v>0.7</v>
      </c>
      <c r="J21" s="276">
        <v>5</v>
      </c>
      <c r="K21" s="222" t="s">
        <v>1176</v>
      </c>
      <c r="L21" s="283">
        <v>0.5</v>
      </c>
      <c r="M21" s="284">
        <v>5</v>
      </c>
      <c r="N21" s="208" t="s">
        <v>1177</v>
      </c>
      <c r="P21" s="213" t="s">
        <v>1178</v>
      </c>
      <c r="AB21" s="209"/>
    </row>
    <row r="22" spans="1:28" ht="120">
      <c r="A22" s="248" t="s">
        <v>617</v>
      </c>
      <c r="B22" s="229" t="s">
        <v>1748</v>
      </c>
      <c r="C22" s="222" t="s">
        <v>1084</v>
      </c>
      <c r="D22" s="262">
        <v>2</v>
      </c>
      <c r="E22" s="263">
        <v>4</v>
      </c>
      <c r="F22" s="242" t="s">
        <v>102</v>
      </c>
      <c r="G22" s="222"/>
      <c r="H22" s="242" t="s">
        <v>1179</v>
      </c>
      <c r="I22" s="275">
        <v>0.8</v>
      </c>
      <c r="J22" s="276">
        <v>5</v>
      </c>
      <c r="K22" s="222" t="s">
        <v>1180</v>
      </c>
      <c r="L22" s="283">
        <v>0.8</v>
      </c>
      <c r="M22" s="284">
        <v>5</v>
      </c>
      <c r="N22" s="208" t="s">
        <v>1181</v>
      </c>
      <c r="P22" s="210" t="s">
        <v>1182</v>
      </c>
      <c r="AB22" s="209"/>
    </row>
    <row r="23" spans="1:28" ht="60">
      <c r="A23" s="248" t="s">
        <v>224</v>
      </c>
      <c r="B23" s="222" t="s">
        <v>1751</v>
      </c>
      <c r="C23" s="222" t="s">
        <v>1720</v>
      </c>
      <c r="D23" s="262">
        <v>1</v>
      </c>
      <c r="E23" s="263">
        <v>5</v>
      </c>
      <c r="F23" s="242" t="s">
        <v>1183</v>
      </c>
      <c r="G23" s="244" t="s">
        <v>1184</v>
      </c>
      <c r="H23" s="242" t="s">
        <v>1185</v>
      </c>
      <c r="I23" s="275">
        <v>0.9</v>
      </c>
      <c r="J23" s="276">
        <v>3</v>
      </c>
      <c r="K23" s="222" t="s">
        <v>1185</v>
      </c>
      <c r="L23" s="283">
        <v>0.9</v>
      </c>
      <c r="M23" s="284">
        <v>5</v>
      </c>
      <c r="N23" s="208" t="s">
        <v>1186</v>
      </c>
      <c r="P23" s="210" t="s">
        <v>1187</v>
      </c>
      <c r="AB23" s="209"/>
    </row>
    <row r="24" spans="1:28" ht="30">
      <c r="A24" s="248" t="s">
        <v>618</v>
      </c>
      <c r="B24" s="229" t="s">
        <v>1750</v>
      </c>
      <c r="C24" s="222" t="s">
        <v>1749</v>
      </c>
      <c r="D24" s="262">
        <v>4</v>
      </c>
      <c r="E24" s="263">
        <v>1</v>
      </c>
      <c r="F24" s="242" t="s">
        <v>102</v>
      </c>
      <c r="G24" s="222"/>
      <c r="H24" s="242" t="s">
        <v>1188</v>
      </c>
      <c r="I24" s="275">
        <v>0.5</v>
      </c>
      <c r="J24" s="276">
        <v>5</v>
      </c>
      <c r="K24" s="222" t="s">
        <v>1189</v>
      </c>
      <c r="L24" s="283">
        <v>0.8</v>
      </c>
      <c r="M24" s="284">
        <v>5</v>
      </c>
      <c r="N24" s="208" t="s">
        <v>1190</v>
      </c>
      <c r="P24" s="213" t="s">
        <v>1191</v>
      </c>
      <c r="AB24" s="209"/>
    </row>
    <row r="25" spans="1:28" ht="60">
      <c r="A25" s="248" t="s">
        <v>619</v>
      </c>
      <c r="B25" s="222" t="s">
        <v>1762</v>
      </c>
      <c r="C25" s="222" t="s">
        <v>1752</v>
      </c>
      <c r="D25" s="262">
        <v>2</v>
      </c>
      <c r="E25" s="263">
        <v>4</v>
      </c>
      <c r="F25" s="242" t="s">
        <v>102</v>
      </c>
      <c r="G25" s="222"/>
      <c r="H25" s="242" t="s">
        <v>1192</v>
      </c>
      <c r="I25" s="275">
        <v>0.9</v>
      </c>
      <c r="J25" s="276">
        <v>3</v>
      </c>
      <c r="K25" s="222" t="s">
        <v>1193</v>
      </c>
      <c r="L25" s="283">
        <v>0.9</v>
      </c>
      <c r="M25" s="284">
        <v>1</v>
      </c>
      <c r="N25" s="208" t="s">
        <v>1194</v>
      </c>
      <c r="P25" s="210" t="s">
        <v>1195</v>
      </c>
      <c r="AB25" s="209"/>
    </row>
    <row r="26" spans="1:28" ht="45">
      <c r="A26" s="248" t="s">
        <v>620</v>
      </c>
      <c r="B26" s="222" t="s">
        <v>1753</v>
      </c>
      <c r="C26" s="222" t="s">
        <v>1754</v>
      </c>
      <c r="D26" s="262">
        <v>3</v>
      </c>
      <c r="E26" s="263">
        <v>3</v>
      </c>
      <c r="F26" s="242" t="s">
        <v>102</v>
      </c>
      <c r="G26" s="222"/>
      <c r="H26" s="242" t="s">
        <v>1196</v>
      </c>
      <c r="I26" s="275">
        <v>0.9</v>
      </c>
      <c r="J26" s="276">
        <v>3</v>
      </c>
      <c r="K26" s="222"/>
      <c r="L26" s="283">
        <v>0.75</v>
      </c>
      <c r="M26" s="284">
        <v>2</v>
      </c>
      <c r="N26" s="208" t="s">
        <v>1197</v>
      </c>
      <c r="P26" s="210" t="s">
        <v>1198</v>
      </c>
      <c r="AB26" s="209"/>
    </row>
    <row r="27" spans="1:28" ht="45">
      <c r="A27" s="248" t="s">
        <v>621</v>
      </c>
      <c r="B27" s="229" t="s">
        <v>1755</v>
      </c>
      <c r="C27" s="222" t="s">
        <v>1199</v>
      </c>
      <c r="D27" s="262">
        <v>2</v>
      </c>
      <c r="E27" s="263">
        <v>4</v>
      </c>
      <c r="F27" s="242" t="s">
        <v>102</v>
      </c>
      <c r="G27" s="222"/>
      <c r="H27" s="242" t="s">
        <v>1200</v>
      </c>
      <c r="I27" s="275">
        <v>0.9</v>
      </c>
      <c r="J27" s="276">
        <v>3</v>
      </c>
      <c r="K27" s="222" t="s">
        <v>1200</v>
      </c>
      <c r="L27" s="283">
        <v>0.9</v>
      </c>
      <c r="M27" s="284">
        <v>3</v>
      </c>
      <c r="N27" s="208" t="s">
        <v>1201</v>
      </c>
      <c r="AB27" s="209"/>
    </row>
    <row r="28" spans="1:28" ht="45">
      <c r="A28" s="248" t="s">
        <v>468</v>
      </c>
      <c r="B28" s="229" t="s">
        <v>1756</v>
      </c>
      <c r="C28" s="222" t="s">
        <v>1202</v>
      </c>
      <c r="D28" s="262">
        <v>3</v>
      </c>
      <c r="E28" s="263">
        <v>2</v>
      </c>
      <c r="F28" s="242" t="s">
        <v>1203</v>
      </c>
      <c r="G28" s="222"/>
      <c r="H28" s="242" t="s">
        <v>1204</v>
      </c>
      <c r="I28" s="275">
        <v>0.7</v>
      </c>
      <c r="J28" s="276">
        <v>5</v>
      </c>
      <c r="K28" s="222"/>
      <c r="L28" s="283">
        <v>0.5</v>
      </c>
      <c r="M28" s="284">
        <v>7</v>
      </c>
      <c r="N28" s="208" t="s">
        <v>1205</v>
      </c>
      <c r="AB28" s="209"/>
    </row>
    <row r="29" spans="1:28" ht="30">
      <c r="A29" s="248" t="s">
        <v>209</v>
      </c>
      <c r="B29" s="229" t="s">
        <v>1757</v>
      </c>
      <c r="C29" s="222" t="s">
        <v>1084</v>
      </c>
      <c r="D29" s="262">
        <v>4</v>
      </c>
      <c r="E29" s="263">
        <v>1</v>
      </c>
      <c r="F29" s="242" t="s">
        <v>102</v>
      </c>
      <c r="G29" s="222"/>
      <c r="H29" s="242" t="s">
        <v>1206</v>
      </c>
      <c r="I29" s="275">
        <v>0.7</v>
      </c>
      <c r="J29" s="276">
        <v>5</v>
      </c>
      <c r="K29" s="222" t="s">
        <v>1206</v>
      </c>
      <c r="L29" s="283">
        <v>0.9</v>
      </c>
      <c r="M29" s="284">
        <v>5</v>
      </c>
      <c r="N29" s="208" t="s">
        <v>1207</v>
      </c>
      <c r="P29" s="210" t="s">
        <v>1208</v>
      </c>
      <c r="AB29" s="209"/>
    </row>
    <row r="30" spans="1:28" ht="45">
      <c r="A30" s="248" t="s">
        <v>205</v>
      </c>
      <c r="B30" s="229" t="s">
        <v>1758</v>
      </c>
      <c r="C30" s="222" t="s">
        <v>1209</v>
      </c>
      <c r="D30" s="262">
        <v>4</v>
      </c>
      <c r="E30" s="263">
        <v>2</v>
      </c>
      <c r="F30" s="242" t="s">
        <v>1210</v>
      </c>
      <c r="G30" s="243" t="s">
        <v>1211</v>
      </c>
      <c r="H30" s="242" t="s">
        <v>1212</v>
      </c>
      <c r="I30" s="275">
        <v>0.7</v>
      </c>
      <c r="J30" s="276">
        <v>5</v>
      </c>
      <c r="K30" s="222" t="s">
        <v>1212</v>
      </c>
      <c r="L30" s="283">
        <v>0.4</v>
      </c>
      <c r="M30" s="284">
        <v>5</v>
      </c>
      <c r="N30" s="208" t="s">
        <v>1213</v>
      </c>
      <c r="P30" s="210" t="s">
        <v>1214</v>
      </c>
      <c r="AB30" s="209"/>
    </row>
    <row r="31" spans="1:28" ht="45">
      <c r="A31" s="248" t="s">
        <v>1215</v>
      </c>
      <c r="B31" s="229" t="s">
        <v>1759</v>
      </c>
      <c r="C31" s="222" t="s">
        <v>1760</v>
      </c>
      <c r="D31" s="262">
        <v>3</v>
      </c>
      <c r="E31" s="263">
        <v>3</v>
      </c>
      <c r="F31" s="242" t="s">
        <v>1216</v>
      </c>
      <c r="G31" s="243" t="s">
        <v>1217</v>
      </c>
      <c r="H31" s="242" t="s">
        <v>1218</v>
      </c>
      <c r="I31" s="275">
        <v>0.7</v>
      </c>
      <c r="J31" s="276">
        <v>6</v>
      </c>
      <c r="K31" s="222" t="s">
        <v>1219</v>
      </c>
      <c r="L31" s="283">
        <v>0.6</v>
      </c>
      <c r="M31" s="284">
        <v>6</v>
      </c>
      <c r="N31" s="208" t="s">
        <v>1220</v>
      </c>
      <c r="P31" s="210" t="s">
        <v>1221</v>
      </c>
      <c r="R31" s="210" t="s">
        <v>1222</v>
      </c>
      <c r="AB31" s="209"/>
    </row>
    <row r="32" spans="1:28" ht="90">
      <c r="A32" s="248" t="s">
        <v>206</v>
      </c>
      <c r="B32" s="229" t="s">
        <v>1763</v>
      </c>
      <c r="C32" s="222" t="s">
        <v>1761</v>
      </c>
      <c r="D32" s="262">
        <v>2</v>
      </c>
      <c r="E32" s="263">
        <v>4</v>
      </c>
      <c r="F32" s="242" t="s">
        <v>1767</v>
      </c>
      <c r="G32" s="222" t="s">
        <v>1768</v>
      </c>
      <c r="H32" s="242" t="s">
        <v>1224</v>
      </c>
      <c r="I32" s="275">
        <v>0.9</v>
      </c>
      <c r="J32" s="276">
        <v>3</v>
      </c>
      <c r="K32" s="222" t="s">
        <v>1224</v>
      </c>
      <c r="L32" s="283">
        <v>0.7</v>
      </c>
      <c r="M32" s="284">
        <v>5</v>
      </c>
      <c r="N32" s="208" t="s">
        <v>1225</v>
      </c>
      <c r="P32" s="210" t="s">
        <v>1226</v>
      </c>
      <c r="AB32" s="209"/>
    </row>
    <row r="33" spans="1:28" ht="90">
      <c r="A33" s="248" t="s">
        <v>622</v>
      </c>
      <c r="B33" s="229" t="s">
        <v>1765</v>
      </c>
      <c r="C33" s="222" t="s">
        <v>1766</v>
      </c>
      <c r="D33" s="262">
        <v>3</v>
      </c>
      <c r="E33" s="263">
        <v>3</v>
      </c>
      <c r="F33" s="242" t="s">
        <v>1227</v>
      </c>
      <c r="G33" s="287">
        <v>324441</v>
      </c>
      <c r="H33" s="242" t="s">
        <v>1228</v>
      </c>
      <c r="I33" s="275">
        <v>0.7</v>
      </c>
      <c r="J33" s="276">
        <v>4</v>
      </c>
      <c r="K33" s="222" t="s">
        <v>1228</v>
      </c>
      <c r="L33" s="283">
        <v>0.7</v>
      </c>
      <c r="M33" s="284">
        <v>4</v>
      </c>
      <c r="N33" s="208" t="s">
        <v>1229</v>
      </c>
      <c r="P33" s="210" t="s">
        <v>1230</v>
      </c>
      <c r="AB33" s="209"/>
    </row>
    <row r="34" spans="1:28" ht="75">
      <c r="A34" s="248" t="s">
        <v>469</v>
      </c>
      <c r="B34" s="229" t="s">
        <v>1771</v>
      </c>
      <c r="C34" s="222" t="s">
        <v>1772</v>
      </c>
      <c r="D34" s="264">
        <v>3</v>
      </c>
      <c r="E34" s="263">
        <v>3</v>
      </c>
      <c r="F34" s="242" t="s">
        <v>1769</v>
      </c>
      <c r="G34" s="243" t="s">
        <v>1770</v>
      </c>
      <c r="H34" s="242" t="s">
        <v>1231</v>
      </c>
      <c r="I34" s="275">
        <v>0.9</v>
      </c>
      <c r="J34" s="276">
        <v>3</v>
      </c>
      <c r="K34" s="222" t="s">
        <v>1232</v>
      </c>
      <c r="L34" s="283">
        <v>0.7</v>
      </c>
      <c r="M34" s="284">
        <v>4</v>
      </c>
      <c r="N34" s="208" t="s">
        <v>1233</v>
      </c>
      <c r="AB34" s="209"/>
    </row>
    <row r="35" spans="1:28" ht="45">
      <c r="A35" s="248" t="s">
        <v>623</v>
      </c>
      <c r="B35" s="229" t="s">
        <v>1773</v>
      </c>
      <c r="C35" s="222" t="s">
        <v>1234</v>
      </c>
      <c r="D35" s="262">
        <v>2</v>
      </c>
      <c r="E35" s="263">
        <v>4</v>
      </c>
      <c r="F35" s="242" t="s">
        <v>1235</v>
      </c>
      <c r="G35" s="222" t="s">
        <v>1236</v>
      </c>
      <c r="H35" s="242" t="s">
        <v>1237</v>
      </c>
      <c r="I35" s="275">
        <v>0.9</v>
      </c>
      <c r="J35" s="276">
        <v>3</v>
      </c>
      <c r="K35" s="222" t="s">
        <v>1238</v>
      </c>
      <c r="L35" s="283">
        <v>0.7</v>
      </c>
      <c r="M35" s="284">
        <v>7</v>
      </c>
      <c r="N35" s="208" t="s">
        <v>1239</v>
      </c>
      <c r="AB35" s="209"/>
    </row>
    <row r="36" spans="1:28" ht="30">
      <c r="A36" s="248" t="s">
        <v>470</v>
      </c>
      <c r="B36" s="222" t="s">
        <v>1774</v>
      </c>
      <c r="C36" s="222" t="s">
        <v>1775</v>
      </c>
      <c r="D36" s="262">
        <v>2</v>
      </c>
      <c r="E36" s="263">
        <v>4</v>
      </c>
      <c r="F36" s="242" t="s">
        <v>102</v>
      </c>
      <c r="G36" s="222"/>
      <c r="H36" s="242" t="s">
        <v>1240</v>
      </c>
      <c r="I36" s="275">
        <v>0.8</v>
      </c>
      <c r="J36" s="276">
        <v>3</v>
      </c>
      <c r="K36" s="222" t="s">
        <v>1240</v>
      </c>
      <c r="L36" s="283">
        <v>0.7</v>
      </c>
      <c r="M36" s="284">
        <v>5</v>
      </c>
      <c r="N36" s="208" t="s">
        <v>1241</v>
      </c>
      <c r="P36" s="210" t="s">
        <v>1242</v>
      </c>
      <c r="R36" s="210" t="s">
        <v>1243</v>
      </c>
      <c r="AB36" s="209"/>
    </row>
    <row r="37" spans="1:28" ht="45">
      <c r="A37" s="248" t="s">
        <v>624</v>
      </c>
      <c r="B37" s="222" t="s">
        <v>1777</v>
      </c>
      <c r="C37" s="222" t="s">
        <v>1776</v>
      </c>
      <c r="D37" s="262">
        <v>2</v>
      </c>
      <c r="E37" s="263">
        <v>4</v>
      </c>
      <c r="F37" s="242" t="s">
        <v>102</v>
      </c>
      <c r="G37" s="222"/>
      <c r="H37" s="242" t="s">
        <v>1244</v>
      </c>
      <c r="I37" s="275">
        <v>0.8</v>
      </c>
      <c r="J37" s="276">
        <v>3</v>
      </c>
      <c r="K37" s="222" t="s">
        <v>1244</v>
      </c>
      <c r="L37" s="283">
        <v>0.7</v>
      </c>
      <c r="M37" s="284">
        <v>3</v>
      </c>
      <c r="N37" s="208" t="s">
        <v>1245</v>
      </c>
      <c r="AB37" s="209"/>
    </row>
    <row r="38" spans="1:28" ht="30">
      <c r="A38" s="248" t="s">
        <v>213</v>
      </c>
      <c r="B38" s="222" t="s">
        <v>1778</v>
      </c>
      <c r="C38" s="222" t="s">
        <v>1714</v>
      </c>
      <c r="D38" s="262">
        <v>4</v>
      </c>
      <c r="E38" s="263">
        <v>2</v>
      </c>
      <c r="F38" s="242" t="s">
        <v>1246</v>
      </c>
      <c r="G38" s="287">
        <v>6000</v>
      </c>
      <c r="H38" s="242" t="s">
        <v>1247</v>
      </c>
      <c r="I38" s="275">
        <v>0.2</v>
      </c>
      <c r="J38" s="276">
        <v>7</v>
      </c>
      <c r="K38" s="222" t="s">
        <v>1248</v>
      </c>
      <c r="L38" s="283">
        <v>0.2</v>
      </c>
      <c r="M38" s="284">
        <v>7</v>
      </c>
      <c r="N38" s="208" t="s">
        <v>1249</v>
      </c>
      <c r="P38" s="210" t="s">
        <v>1250</v>
      </c>
      <c r="R38" s="210" t="s">
        <v>1251</v>
      </c>
      <c r="AB38" s="209"/>
    </row>
    <row r="39" spans="1:28" ht="120">
      <c r="A39" s="248" t="s">
        <v>625</v>
      </c>
      <c r="B39" s="230" t="s">
        <v>1705</v>
      </c>
      <c r="C39" s="222" t="s">
        <v>1252</v>
      </c>
      <c r="D39" s="262">
        <v>4</v>
      </c>
      <c r="E39" s="263">
        <v>2</v>
      </c>
      <c r="F39" s="242" t="s">
        <v>1253</v>
      </c>
      <c r="G39" s="243" t="s">
        <v>1254</v>
      </c>
      <c r="H39" s="242" t="s">
        <v>1247</v>
      </c>
      <c r="I39" s="275">
        <v>0.2</v>
      </c>
      <c r="J39" s="276">
        <v>6</v>
      </c>
      <c r="K39" s="222" t="s">
        <v>1255</v>
      </c>
      <c r="L39" s="283">
        <v>0.2</v>
      </c>
      <c r="M39" s="284">
        <v>6</v>
      </c>
      <c r="N39" s="208" t="s">
        <v>1256</v>
      </c>
      <c r="AB39" s="209"/>
    </row>
    <row r="40" spans="1:28" ht="45">
      <c r="A40" s="248" t="s">
        <v>626</v>
      </c>
      <c r="B40" s="229" t="s">
        <v>1779</v>
      </c>
      <c r="C40" s="222" t="s">
        <v>1780</v>
      </c>
      <c r="D40" s="262">
        <v>2</v>
      </c>
      <c r="E40" s="263">
        <v>5</v>
      </c>
      <c r="F40" s="242" t="s">
        <v>1257</v>
      </c>
      <c r="G40" s="222"/>
      <c r="H40" s="242" t="s">
        <v>1258</v>
      </c>
      <c r="I40" s="275">
        <v>0.8</v>
      </c>
      <c r="J40" s="276">
        <v>5</v>
      </c>
      <c r="K40" s="222" t="s">
        <v>1258</v>
      </c>
      <c r="L40" s="283">
        <v>0.75</v>
      </c>
      <c r="M40" s="284">
        <v>7</v>
      </c>
      <c r="N40" s="208" t="s">
        <v>1259</v>
      </c>
      <c r="P40" s="210" t="s">
        <v>1260</v>
      </c>
      <c r="AB40" s="209"/>
    </row>
    <row r="41" spans="1:28" ht="60">
      <c r="A41" s="248" t="s">
        <v>56</v>
      </c>
      <c r="B41" s="229" t="s">
        <v>1781</v>
      </c>
      <c r="C41" s="222" t="s">
        <v>1261</v>
      </c>
      <c r="D41" s="262">
        <v>2</v>
      </c>
      <c r="E41" s="263">
        <v>5</v>
      </c>
      <c r="F41" s="242" t="s">
        <v>1262</v>
      </c>
      <c r="G41" s="222" t="s">
        <v>1263</v>
      </c>
      <c r="H41" s="242" t="s">
        <v>1264</v>
      </c>
      <c r="I41" s="275">
        <v>0.8</v>
      </c>
      <c r="J41" s="276">
        <v>3</v>
      </c>
      <c r="K41" s="222" t="s">
        <v>1264</v>
      </c>
      <c r="L41" s="283">
        <v>0.75</v>
      </c>
      <c r="M41" s="284">
        <v>3</v>
      </c>
      <c r="N41" s="208" t="s">
        <v>1221</v>
      </c>
      <c r="O41" s="210" t="s">
        <v>1265</v>
      </c>
      <c r="P41" s="210" t="s">
        <v>1266</v>
      </c>
      <c r="Q41" s="210" t="s">
        <v>1267</v>
      </c>
      <c r="AB41" s="209"/>
    </row>
    <row r="42" spans="1:28" ht="105">
      <c r="A42" s="248" t="s">
        <v>223</v>
      </c>
      <c r="B42" s="222" t="s">
        <v>1268</v>
      </c>
      <c r="C42" s="222" t="s">
        <v>1782</v>
      </c>
      <c r="D42" s="262">
        <v>2</v>
      </c>
      <c r="E42" s="263">
        <v>4</v>
      </c>
      <c r="F42" s="242" t="s">
        <v>1269</v>
      </c>
      <c r="G42" s="222" t="s">
        <v>1387</v>
      </c>
      <c r="H42" s="242" t="s">
        <v>1270</v>
      </c>
      <c r="I42" s="275">
        <v>0.8</v>
      </c>
      <c r="J42" s="276">
        <v>3</v>
      </c>
      <c r="K42" s="222"/>
      <c r="L42" s="283">
        <v>0.75</v>
      </c>
      <c r="M42" s="284">
        <v>3</v>
      </c>
      <c r="N42" s="208" t="s">
        <v>1271</v>
      </c>
      <c r="O42" s="210" t="s">
        <v>1272</v>
      </c>
      <c r="P42" s="210" t="s">
        <v>1273</v>
      </c>
      <c r="AB42" s="209"/>
    </row>
    <row r="43" spans="1:28" ht="60">
      <c r="A43" s="248" t="s">
        <v>1274</v>
      </c>
      <c r="B43" s="222" t="s">
        <v>1783</v>
      </c>
      <c r="C43" s="222" t="s">
        <v>1784</v>
      </c>
      <c r="D43" s="262" t="s">
        <v>1275</v>
      </c>
      <c r="E43" s="265" t="s">
        <v>1276</v>
      </c>
      <c r="F43" s="242" t="s">
        <v>1269</v>
      </c>
      <c r="G43" s="222"/>
      <c r="H43" s="242" t="s">
        <v>1277</v>
      </c>
      <c r="I43" s="275">
        <v>0.8</v>
      </c>
      <c r="J43" s="276">
        <v>5</v>
      </c>
      <c r="K43" s="242" t="s">
        <v>1277</v>
      </c>
      <c r="L43" s="283">
        <v>0.75</v>
      </c>
      <c r="M43" s="284">
        <v>7</v>
      </c>
      <c r="N43" s="208" t="s">
        <v>1278</v>
      </c>
      <c r="AB43" s="209"/>
    </row>
    <row r="44" spans="1:28" ht="30">
      <c r="A44" s="248" t="s">
        <v>1279</v>
      </c>
      <c r="B44" s="222" t="s">
        <v>1785</v>
      </c>
      <c r="C44" s="222" t="s">
        <v>1701</v>
      </c>
      <c r="D44" s="262">
        <v>3</v>
      </c>
      <c r="E44" s="263">
        <v>2</v>
      </c>
      <c r="F44" s="242" t="s">
        <v>1269</v>
      </c>
      <c r="G44" s="222"/>
      <c r="H44" s="242" t="s">
        <v>1280</v>
      </c>
      <c r="I44" s="275">
        <v>0.8</v>
      </c>
      <c r="J44" s="276">
        <v>5</v>
      </c>
      <c r="K44" s="222" t="s">
        <v>1280</v>
      </c>
      <c r="L44" s="283">
        <v>0.75</v>
      </c>
      <c r="M44" s="284">
        <v>7</v>
      </c>
      <c r="N44" s="208" t="s">
        <v>1281</v>
      </c>
      <c r="AB44" s="209"/>
    </row>
    <row r="45" spans="1:28">
      <c r="A45" s="248" t="s">
        <v>1282</v>
      </c>
      <c r="B45" s="230" t="s">
        <v>1786</v>
      </c>
      <c r="C45" s="222" t="s">
        <v>1084</v>
      </c>
      <c r="D45" s="262">
        <v>4</v>
      </c>
      <c r="E45" s="263">
        <v>1</v>
      </c>
      <c r="F45" s="242"/>
      <c r="G45" s="222"/>
      <c r="H45" s="242"/>
      <c r="I45" s="275">
        <v>0.2</v>
      </c>
      <c r="J45" s="276">
        <v>5</v>
      </c>
      <c r="K45" s="222"/>
      <c r="L45" s="283">
        <v>0.2</v>
      </c>
      <c r="M45" s="284">
        <v>7</v>
      </c>
      <c r="N45" s="208" t="s">
        <v>1283</v>
      </c>
      <c r="AB45" s="209"/>
    </row>
    <row r="46" spans="1:28" ht="30">
      <c r="A46" s="248" t="s">
        <v>216</v>
      </c>
      <c r="B46" s="229" t="s">
        <v>1787</v>
      </c>
      <c r="C46" s="222" t="s">
        <v>1284</v>
      </c>
      <c r="D46" s="262">
        <v>2</v>
      </c>
      <c r="E46" s="263">
        <v>3</v>
      </c>
      <c r="F46" s="242" t="s">
        <v>102</v>
      </c>
      <c r="G46" s="222"/>
      <c r="H46" s="242" t="s">
        <v>1285</v>
      </c>
      <c r="I46" s="275">
        <v>0.75</v>
      </c>
      <c r="J46" s="276">
        <v>7</v>
      </c>
      <c r="K46" s="222" t="s">
        <v>1285</v>
      </c>
      <c r="L46" s="283">
        <v>0.5</v>
      </c>
      <c r="M46" s="284">
        <v>7</v>
      </c>
      <c r="N46" s="208" t="s">
        <v>1286</v>
      </c>
      <c r="AB46" s="209"/>
    </row>
    <row r="47" spans="1:28" ht="45">
      <c r="A47" s="248" t="s">
        <v>471</v>
      </c>
      <c r="B47" s="229" t="s">
        <v>1788</v>
      </c>
      <c r="C47" s="222" t="s">
        <v>1789</v>
      </c>
      <c r="D47" s="262">
        <v>2</v>
      </c>
      <c r="E47" s="263">
        <v>3</v>
      </c>
      <c r="F47" s="242" t="s">
        <v>102</v>
      </c>
      <c r="G47" s="222"/>
      <c r="H47" s="242" t="s">
        <v>1285</v>
      </c>
      <c r="I47" s="275">
        <v>0.9</v>
      </c>
      <c r="J47" s="276">
        <v>3</v>
      </c>
      <c r="K47" s="222" t="s">
        <v>1285</v>
      </c>
      <c r="L47" s="283">
        <v>0.5</v>
      </c>
      <c r="M47" s="284">
        <v>7</v>
      </c>
      <c r="N47" s="208" t="s">
        <v>1287</v>
      </c>
      <c r="AB47" s="209"/>
    </row>
    <row r="48" spans="1:28" ht="75">
      <c r="A48" s="248" t="s">
        <v>627</v>
      </c>
      <c r="B48" s="230" t="s">
        <v>1724</v>
      </c>
      <c r="C48" s="222" t="s">
        <v>1084</v>
      </c>
      <c r="D48" s="262">
        <v>3</v>
      </c>
      <c r="E48" s="263">
        <v>3</v>
      </c>
      <c r="F48" s="242" t="s">
        <v>1288</v>
      </c>
      <c r="G48" s="222" t="s">
        <v>1289</v>
      </c>
      <c r="H48" s="242" t="s">
        <v>1290</v>
      </c>
      <c r="I48" s="275">
        <v>0.8</v>
      </c>
      <c r="J48" s="276">
        <v>5</v>
      </c>
      <c r="K48" s="222"/>
      <c r="L48" s="283">
        <v>0.75</v>
      </c>
      <c r="M48" s="284">
        <v>7</v>
      </c>
      <c r="N48" s="208" t="s">
        <v>1291</v>
      </c>
      <c r="P48" s="210" t="s">
        <v>1292</v>
      </c>
      <c r="R48" s="210" t="s">
        <v>1293</v>
      </c>
      <c r="T48" s="210" t="s">
        <v>1294</v>
      </c>
      <c r="V48" s="210" t="s">
        <v>1295</v>
      </c>
      <c r="X48" s="210" t="s">
        <v>1296</v>
      </c>
      <c r="Z48" s="210" t="s">
        <v>1297</v>
      </c>
      <c r="AB48" s="209"/>
    </row>
    <row r="49" spans="1:28" ht="90">
      <c r="A49" s="248" t="s">
        <v>222</v>
      </c>
      <c r="B49" s="229" t="s">
        <v>1796</v>
      </c>
      <c r="C49" s="222" t="s">
        <v>1298</v>
      </c>
      <c r="D49" s="262">
        <v>2</v>
      </c>
      <c r="E49" s="263">
        <v>3</v>
      </c>
      <c r="F49" s="242" t="s">
        <v>1299</v>
      </c>
      <c r="G49" s="243" t="s">
        <v>1723</v>
      </c>
      <c r="H49" s="242" t="s">
        <v>1300</v>
      </c>
      <c r="I49" s="275">
        <v>0.5</v>
      </c>
      <c r="J49" s="276">
        <v>7</v>
      </c>
      <c r="K49" s="222" t="s">
        <v>1300</v>
      </c>
      <c r="L49" s="283">
        <v>0.4</v>
      </c>
      <c r="M49" s="284">
        <v>7</v>
      </c>
      <c r="N49" s="212" t="s">
        <v>1301</v>
      </c>
      <c r="P49" s="210" t="s">
        <v>1302</v>
      </c>
      <c r="AB49" s="209"/>
    </row>
    <row r="50" spans="1:28" ht="60">
      <c r="A50" s="248" t="s">
        <v>628</v>
      </c>
      <c r="B50" s="229" t="s">
        <v>1797</v>
      </c>
      <c r="C50" s="222" t="s">
        <v>1084</v>
      </c>
      <c r="D50" s="262">
        <v>3</v>
      </c>
      <c r="E50" s="263">
        <v>3</v>
      </c>
      <c r="F50" s="242" t="s">
        <v>1203</v>
      </c>
      <c r="G50" s="222"/>
      <c r="H50" s="242" t="s">
        <v>1303</v>
      </c>
      <c r="I50" s="275">
        <v>0.9</v>
      </c>
      <c r="J50" s="276">
        <v>3</v>
      </c>
      <c r="K50" s="222" t="s">
        <v>1303</v>
      </c>
      <c r="L50" s="283">
        <v>0.8</v>
      </c>
      <c r="M50" s="284">
        <v>3</v>
      </c>
      <c r="N50" s="208" t="s">
        <v>1304</v>
      </c>
      <c r="P50" s="210" t="s">
        <v>1305</v>
      </c>
      <c r="AB50" s="209"/>
    </row>
    <row r="51" spans="1:28" ht="180">
      <c r="A51" s="248" t="s">
        <v>230</v>
      </c>
      <c r="B51" s="229" t="s">
        <v>1798</v>
      </c>
      <c r="C51" s="222" t="s">
        <v>1702</v>
      </c>
      <c r="D51" s="262">
        <v>3</v>
      </c>
      <c r="E51" s="263">
        <v>3</v>
      </c>
      <c r="F51" s="242" t="s">
        <v>1306</v>
      </c>
      <c r="G51" s="222" t="s">
        <v>1729</v>
      </c>
      <c r="H51" s="242" t="s">
        <v>1307</v>
      </c>
      <c r="I51" s="275">
        <v>0.9</v>
      </c>
      <c r="J51" s="276">
        <v>3</v>
      </c>
      <c r="K51" s="222" t="s">
        <v>1307</v>
      </c>
      <c r="L51" s="283">
        <v>0.8</v>
      </c>
      <c r="M51" s="284">
        <v>3</v>
      </c>
      <c r="N51" s="208" t="s">
        <v>1308</v>
      </c>
      <c r="P51" s="210" t="s">
        <v>1309</v>
      </c>
      <c r="R51" s="210" t="s">
        <v>1310</v>
      </c>
      <c r="AB51" s="209"/>
    </row>
    <row r="52" spans="1:28">
      <c r="A52" s="248" t="s">
        <v>1311</v>
      </c>
      <c r="B52" s="222" t="s">
        <v>1312</v>
      </c>
      <c r="C52" s="231" t="s">
        <v>1084</v>
      </c>
      <c r="D52" s="262"/>
      <c r="E52" s="263"/>
      <c r="F52" s="242" t="s">
        <v>1313</v>
      </c>
      <c r="G52" s="222"/>
      <c r="H52" s="242" t="s">
        <v>1314</v>
      </c>
      <c r="I52" s="275">
        <v>0.75</v>
      </c>
      <c r="J52" s="276">
        <v>3</v>
      </c>
      <c r="K52" s="222" t="s">
        <v>1314</v>
      </c>
      <c r="L52" s="283">
        <v>0.75</v>
      </c>
      <c r="M52" s="284">
        <v>5</v>
      </c>
      <c r="N52" s="208" t="s">
        <v>1315</v>
      </c>
      <c r="P52" s="210" t="s">
        <v>1316</v>
      </c>
      <c r="R52" s="210" t="s">
        <v>1317</v>
      </c>
      <c r="AB52" s="209"/>
    </row>
    <row r="53" spans="1:28" ht="75">
      <c r="A53" s="248" t="s">
        <v>236</v>
      </c>
      <c r="B53" s="229" t="s">
        <v>1799</v>
      </c>
      <c r="C53" s="222" t="s">
        <v>1318</v>
      </c>
      <c r="D53" s="262">
        <v>4</v>
      </c>
      <c r="E53" s="263">
        <v>2</v>
      </c>
      <c r="F53" s="242" t="s">
        <v>1319</v>
      </c>
      <c r="G53" s="222" t="s">
        <v>1223</v>
      </c>
      <c r="H53" s="242" t="s">
        <v>1320</v>
      </c>
      <c r="I53" s="275">
        <v>0.7</v>
      </c>
      <c r="J53" s="276">
        <v>5</v>
      </c>
      <c r="K53" s="222" t="s">
        <v>1320</v>
      </c>
      <c r="L53" s="283">
        <v>0.4</v>
      </c>
      <c r="M53" s="284">
        <v>5</v>
      </c>
      <c r="N53" s="208" t="s">
        <v>1321</v>
      </c>
      <c r="AB53" s="209"/>
    </row>
    <row r="54" spans="1:28" ht="45">
      <c r="A54" s="248" t="s">
        <v>241</v>
      </c>
      <c r="B54" s="229" t="s">
        <v>1800</v>
      </c>
      <c r="C54" s="222" t="s">
        <v>1318</v>
      </c>
      <c r="D54" s="262">
        <v>4</v>
      </c>
      <c r="E54" s="263">
        <v>2</v>
      </c>
      <c r="F54" s="242" t="s">
        <v>1322</v>
      </c>
      <c r="G54" s="222" t="s">
        <v>1323</v>
      </c>
      <c r="H54" s="242" t="s">
        <v>1324</v>
      </c>
      <c r="I54" s="275">
        <v>0.8</v>
      </c>
      <c r="J54" s="276">
        <v>3</v>
      </c>
      <c r="K54" s="222" t="s">
        <v>1324</v>
      </c>
      <c r="L54" s="283">
        <v>0.7</v>
      </c>
      <c r="M54" s="284">
        <v>7</v>
      </c>
      <c r="N54" s="208" t="s">
        <v>1325</v>
      </c>
      <c r="P54" s="210" t="s">
        <v>1326</v>
      </c>
      <c r="R54" s="210" t="s">
        <v>1327</v>
      </c>
      <c r="AB54" s="209"/>
    </row>
    <row r="55" spans="1:28" ht="60">
      <c r="A55" s="248" t="s">
        <v>629</v>
      </c>
      <c r="B55" s="229" t="s">
        <v>1801</v>
      </c>
      <c r="C55" s="222" t="s">
        <v>1703</v>
      </c>
      <c r="D55" s="262">
        <v>1</v>
      </c>
      <c r="E55" s="263">
        <v>4</v>
      </c>
      <c r="F55" s="242" t="s">
        <v>1203</v>
      </c>
      <c r="G55" s="222"/>
      <c r="H55" s="242" t="s">
        <v>1328</v>
      </c>
      <c r="I55" s="275">
        <v>0.9</v>
      </c>
      <c r="J55" s="276">
        <v>3</v>
      </c>
      <c r="K55" s="222" t="s">
        <v>1328</v>
      </c>
      <c r="L55" s="283">
        <v>0.8</v>
      </c>
      <c r="M55" s="284">
        <v>5</v>
      </c>
      <c r="N55" s="208" t="s">
        <v>1329</v>
      </c>
      <c r="AB55" s="209"/>
    </row>
    <row r="56" spans="1:28" ht="30">
      <c r="A56" s="248" t="s">
        <v>1330</v>
      </c>
      <c r="B56" s="229" t="s">
        <v>1802</v>
      </c>
      <c r="C56" s="222" t="s">
        <v>1331</v>
      </c>
      <c r="D56" s="262">
        <v>1</v>
      </c>
      <c r="E56" s="263">
        <v>4</v>
      </c>
      <c r="F56" s="242" t="s">
        <v>1203</v>
      </c>
      <c r="G56" s="222"/>
      <c r="H56" s="242" t="s">
        <v>1332</v>
      </c>
      <c r="I56" s="275">
        <v>0.9</v>
      </c>
      <c r="J56" s="276">
        <v>3</v>
      </c>
      <c r="K56" s="222" t="s">
        <v>1332</v>
      </c>
      <c r="L56" s="283">
        <v>0.8</v>
      </c>
      <c r="M56" s="284">
        <v>5</v>
      </c>
      <c r="N56" s="208" t="s">
        <v>1333</v>
      </c>
      <c r="P56" s="210" t="s">
        <v>1334</v>
      </c>
      <c r="AB56" s="209"/>
    </row>
    <row r="57" spans="1:28">
      <c r="A57" s="248" t="s">
        <v>1335</v>
      </c>
      <c r="B57" s="230" t="s">
        <v>1730</v>
      </c>
      <c r="C57" s="222" t="s">
        <v>1387</v>
      </c>
      <c r="D57" s="262"/>
      <c r="E57" s="263"/>
      <c r="F57" s="242"/>
      <c r="G57" s="222"/>
      <c r="H57" s="242"/>
      <c r="I57" s="275">
        <v>0.8</v>
      </c>
      <c r="J57" s="276">
        <v>7</v>
      </c>
      <c r="K57" s="222"/>
      <c r="L57" s="283">
        <v>0.2</v>
      </c>
      <c r="M57" s="284">
        <v>7</v>
      </c>
      <c r="N57" s="211"/>
      <c r="AB57" s="209"/>
    </row>
    <row r="58" spans="1:28" ht="45">
      <c r="A58" s="248" t="s">
        <v>630</v>
      </c>
      <c r="B58" s="229" t="s">
        <v>1803</v>
      </c>
      <c r="C58" s="222" t="s">
        <v>1336</v>
      </c>
      <c r="D58" s="262">
        <v>3</v>
      </c>
      <c r="E58" s="263">
        <v>2</v>
      </c>
      <c r="F58" s="242" t="s">
        <v>1337</v>
      </c>
      <c r="G58" s="243" t="s">
        <v>1338</v>
      </c>
      <c r="H58" s="242" t="s">
        <v>1339</v>
      </c>
      <c r="I58" s="275">
        <v>0.9</v>
      </c>
      <c r="J58" s="276">
        <v>3</v>
      </c>
      <c r="K58" s="222" t="s">
        <v>1339</v>
      </c>
      <c r="L58" s="283">
        <v>0.7</v>
      </c>
      <c r="M58" s="284">
        <v>7</v>
      </c>
      <c r="N58" s="208" t="s">
        <v>1340</v>
      </c>
      <c r="AB58" s="209"/>
    </row>
    <row r="59" spans="1:28" ht="45">
      <c r="A59" s="248" t="s">
        <v>57</v>
      </c>
      <c r="B59" s="229" t="s">
        <v>1805</v>
      </c>
      <c r="C59" s="222" t="s">
        <v>1318</v>
      </c>
      <c r="D59" s="262">
        <v>4</v>
      </c>
      <c r="E59" s="263">
        <v>3</v>
      </c>
      <c r="F59" s="242" t="s">
        <v>1725</v>
      </c>
      <c r="G59" s="222" t="s">
        <v>1726</v>
      </c>
      <c r="H59" s="242" t="s">
        <v>1341</v>
      </c>
      <c r="I59" s="275">
        <v>0.9</v>
      </c>
      <c r="J59" s="276">
        <v>3</v>
      </c>
      <c r="K59" s="222" t="s">
        <v>1342</v>
      </c>
      <c r="L59" s="283">
        <v>0.75</v>
      </c>
      <c r="M59" s="284">
        <v>5</v>
      </c>
      <c r="N59" s="208" t="s">
        <v>1343</v>
      </c>
      <c r="P59" s="210" t="s">
        <v>1344</v>
      </c>
      <c r="AB59" s="209"/>
    </row>
    <row r="60" spans="1:28" ht="45">
      <c r="A60" s="248" t="s">
        <v>58</v>
      </c>
      <c r="B60" s="229" t="s">
        <v>1804</v>
      </c>
      <c r="C60" s="222" t="s">
        <v>1318</v>
      </c>
      <c r="D60" s="262">
        <v>4</v>
      </c>
      <c r="E60" s="263">
        <v>3</v>
      </c>
      <c r="F60" s="242" t="s">
        <v>1345</v>
      </c>
      <c r="G60" s="222" t="s">
        <v>1346</v>
      </c>
      <c r="H60" s="242" t="s">
        <v>1341</v>
      </c>
      <c r="I60" s="275">
        <v>0.9</v>
      </c>
      <c r="J60" s="276">
        <v>3</v>
      </c>
      <c r="K60" s="222" t="s">
        <v>1342</v>
      </c>
      <c r="L60" s="283">
        <v>0.75</v>
      </c>
      <c r="M60" s="284">
        <v>5</v>
      </c>
      <c r="N60" s="208" t="s">
        <v>1347</v>
      </c>
      <c r="AB60" s="209"/>
    </row>
    <row r="61" spans="1:28">
      <c r="A61" s="248" t="s">
        <v>225</v>
      </c>
      <c r="B61" s="230" t="s">
        <v>1724</v>
      </c>
      <c r="C61" s="222" t="s">
        <v>1084</v>
      </c>
      <c r="D61" s="262">
        <v>4</v>
      </c>
      <c r="E61" s="263">
        <v>2</v>
      </c>
      <c r="F61" s="242" t="s">
        <v>1348</v>
      </c>
      <c r="G61" s="222" t="s">
        <v>1349</v>
      </c>
      <c r="H61" s="242" t="s">
        <v>1350</v>
      </c>
      <c r="I61" s="275">
        <v>0.5</v>
      </c>
      <c r="J61" s="276">
        <v>5</v>
      </c>
      <c r="K61" s="222" t="s">
        <v>1350</v>
      </c>
      <c r="L61" s="283">
        <v>0.5</v>
      </c>
      <c r="M61" s="284">
        <v>7</v>
      </c>
      <c r="N61" s="208" t="s">
        <v>1351</v>
      </c>
      <c r="AB61" s="209"/>
    </row>
    <row r="62" spans="1:28" ht="45">
      <c r="A62" s="248" t="s">
        <v>219</v>
      </c>
      <c r="B62" s="230" t="s">
        <v>1704</v>
      </c>
      <c r="C62" s="222" t="s">
        <v>1352</v>
      </c>
      <c r="D62" s="262">
        <v>2</v>
      </c>
      <c r="E62" s="263">
        <v>4</v>
      </c>
      <c r="F62" s="242" t="s">
        <v>1353</v>
      </c>
      <c r="G62" s="222" t="s">
        <v>1354</v>
      </c>
      <c r="H62" s="242" t="s">
        <v>1355</v>
      </c>
      <c r="I62" s="275">
        <v>0.9</v>
      </c>
      <c r="J62" s="276">
        <v>3</v>
      </c>
      <c r="K62" s="222" t="s">
        <v>1355</v>
      </c>
      <c r="L62" s="283">
        <v>0.4</v>
      </c>
      <c r="M62" s="284">
        <v>3</v>
      </c>
      <c r="N62" s="208" t="s">
        <v>1356</v>
      </c>
      <c r="P62" s="210" t="s">
        <v>1357</v>
      </c>
      <c r="R62" s="210" t="s">
        <v>1128</v>
      </c>
      <c r="AB62" s="209"/>
    </row>
    <row r="63" spans="1:28" ht="30">
      <c r="A63" s="248" t="s">
        <v>631</v>
      </c>
      <c r="B63" s="229" t="s">
        <v>1837</v>
      </c>
      <c r="C63" s="222" t="s">
        <v>1358</v>
      </c>
      <c r="D63" s="262">
        <v>4</v>
      </c>
      <c r="E63" s="263">
        <v>2</v>
      </c>
      <c r="F63" s="242" t="s">
        <v>1359</v>
      </c>
      <c r="G63" s="287" t="s">
        <v>1764</v>
      </c>
      <c r="H63" s="242" t="s">
        <v>1360</v>
      </c>
      <c r="I63" s="275">
        <v>0.6</v>
      </c>
      <c r="J63" s="276">
        <v>4</v>
      </c>
      <c r="K63" s="222" t="s">
        <v>1361</v>
      </c>
      <c r="L63" s="283">
        <v>0.6</v>
      </c>
      <c r="M63" s="284">
        <v>6</v>
      </c>
      <c r="N63" s="208" t="s">
        <v>1107</v>
      </c>
      <c r="AB63" s="209"/>
    </row>
    <row r="64" spans="1:28" ht="45">
      <c r="A64" s="248" t="s">
        <v>632</v>
      </c>
      <c r="B64" s="229" t="s">
        <v>1806</v>
      </c>
      <c r="C64" s="232" t="s">
        <v>1362</v>
      </c>
      <c r="D64" s="262">
        <v>3</v>
      </c>
      <c r="E64" s="263">
        <v>3</v>
      </c>
      <c r="F64" s="242" t="s">
        <v>1363</v>
      </c>
      <c r="G64" s="288"/>
      <c r="H64" s="242" t="s">
        <v>1364</v>
      </c>
      <c r="I64" s="275">
        <v>0.9</v>
      </c>
      <c r="J64" s="276">
        <v>3</v>
      </c>
      <c r="K64" s="222" t="s">
        <v>1364</v>
      </c>
      <c r="L64" s="283">
        <v>0.7</v>
      </c>
      <c r="M64" s="284">
        <v>5</v>
      </c>
      <c r="N64" s="208" t="s">
        <v>1365</v>
      </c>
      <c r="P64" s="210" t="s">
        <v>1366</v>
      </c>
      <c r="AB64" s="209"/>
    </row>
    <row r="65" spans="1:28" ht="60">
      <c r="A65" s="248" t="s">
        <v>228</v>
      </c>
      <c r="B65" s="229" t="s">
        <v>1807</v>
      </c>
      <c r="C65" s="222" t="s">
        <v>1367</v>
      </c>
      <c r="D65" s="262">
        <v>3</v>
      </c>
      <c r="E65" s="263">
        <v>2</v>
      </c>
      <c r="F65" s="242" t="s">
        <v>1368</v>
      </c>
      <c r="G65" s="287">
        <v>577000</v>
      </c>
      <c r="H65" s="242" t="s">
        <v>1369</v>
      </c>
      <c r="I65" s="275">
        <v>0.8</v>
      </c>
      <c r="J65" s="276">
        <v>4</v>
      </c>
      <c r="K65" s="222" t="s">
        <v>1369</v>
      </c>
      <c r="L65" s="283">
        <v>0.75</v>
      </c>
      <c r="M65" s="284">
        <v>6</v>
      </c>
      <c r="N65" s="208" t="s">
        <v>1370</v>
      </c>
      <c r="P65" s="210" t="s">
        <v>1371</v>
      </c>
      <c r="R65" s="210" t="s">
        <v>1310</v>
      </c>
      <c r="X65" s="210" t="s">
        <v>1372</v>
      </c>
      <c r="AB65" s="209"/>
    </row>
    <row r="66" spans="1:28" ht="75">
      <c r="A66" s="248" t="s">
        <v>472</v>
      </c>
      <c r="B66" s="230" t="s">
        <v>1838</v>
      </c>
      <c r="C66" s="222" t="s">
        <v>1839</v>
      </c>
      <c r="D66" s="262">
        <v>2</v>
      </c>
      <c r="E66" s="263">
        <v>4</v>
      </c>
      <c r="F66" s="242" t="s">
        <v>102</v>
      </c>
      <c r="G66" s="288"/>
      <c r="H66" s="242" t="s">
        <v>1373</v>
      </c>
      <c r="I66" s="275">
        <v>0.9</v>
      </c>
      <c r="J66" s="276">
        <v>3</v>
      </c>
      <c r="K66" s="222" t="s">
        <v>1373</v>
      </c>
      <c r="L66" s="283">
        <v>0.9</v>
      </c>
      <c r="M66" s="284">
        <v>3</v>
      </c>
      <c r="N66" s="208" t="s">
        <v>1374</v>
      </c>
      <c r="P66" s="210" t="s">
        <v>1375</v>
      </c>
      <c r="AB66" s="209"/>
    </row>
    <row r="67" spans="1:28" ht="30">
      <c r="A67" s="248" t="s">
        <v>473</v>
      </c>
      <c r="B67" s="229" t="s">
        <v>1808</v>
      </c>
      <c r="C67" s="222" t="s">
        <v>1376</v>
      </c>
      <c r="D67" s="262">
        <v>4</v>
      </c>
      <c r="E67" s="263">
        <v>2</v>
      </c>
      <c r="F67" s="242" t="s">
        <v>1377</v>
      </c>
      <c r="G67" s="222" t="s">
        <v>1223</v>
      </c>
      <c r="H67" s="242" t="s">
        <v>1378</v>
      </c>
      <c r="I67" s="275">
        <v>0.5</v>
      </c>
      <c r="J67" s="276">
        <v>7</v>
      </c>
      <c r="K67" s="222" t="s">
        <v>1378</v>
      </c>
      <c r="L67" s="283">
        <v>0.5</v>
      </c>
      <c r="M67" s="284">
        <v>7</v>
      </c>
      <c r="N67" s="208" t="s">
        <v>1379</v>
      </c>
      <c r="AB67" s="209"/>
    </row>
    <row r="68" spans="1:28" ht="45">
      <c r="A68" s="248" t="s">
        <v>234</v>
      </c>
      <c r="B68" s="230" t="s">
        <v>1705</v>
      </c>
      <c r="C68" s="222" t="s">
        <v>1380</v>
      </c>
      <c r="D68" s="262">
        <v>3</v>
      </c>
      <c r="E68" s="263">
        <v>3</v>
      </c>
      <c r="F68" s="242" t="s">
        <v>1381</v>
      </c>
      <c r="G68" s="222" t="s">
        <v>1382</v>
      </c>
      <c r="H68" s="242" t="s">
        <v>1383</v>
      </c>
      <c r="I68" s="275">
        <v>0.7</v>
      </c>
      <c r="J68" s="276">
        <v>5</v>
      </c>
      <c r="K68" s="222" t="s">
        <v>1383</v>
      </c>
      <c r="L68" s="283">
        <v>0.7</v>
      </c>
      <c r="M68" s="284">
        <v>5</v>
      </c>
      <c r="N68" s="208" t="s">
        <v>1384</v>
      </c>
      <c r="P68" s="210" t="s">
        <v>1385</v>
      </c>
      <c r="R68" s="210" t="s">
        <v>1386</v>
      </c>
      <c r="AB68" s="209"/>
    </row>
    <row r="69" spans="1:28" ht="30">
      <c r="A69" s="248" t="s">
        <v>474</v>
      </c>
      <c r="B69" s="229" t="s">
        <v>1840</v>
      </c>
      <c r="C69" s="222" t="s">
        <v>1387</v>
      </c>
      <c r="D69" s="262">
        <v>3</v>
      </c>
      <c r="E69" s="263">
        <v>2</v>
      </c>
      <c r="F69" s="242" t="s">
        <v>1203</v>
      </c>
      <c r="G69" s="222" t="s">
        <v>1223</v>
      </c>
      <c r="H69" s="250" t="s">
        <v>1388</v>
      </c>
      <c r="I69" s="275">
        <v>0.5</v>
      </c>
      <c r="J69" s="276">
        <v>5</v>
      </c>
      <c r="K69" s="251" t="s">
        <v>1388</v>
      </c>
      <c r="L69" s="283">
        <v>0.5</v>
      </c>
      <c r="M69" s="284">
        <v>5</v>
      </c>
      <c r="N69" s="208" t="s">
        <v>1389</v>
      </c>
      <c r="AB69" s="209"/>
    </row>
    <row r="70" spans="1:28" ht="45">
      <c r="A70" s="248" t="s">
        <v>633</v>
      </c>
      <c r="B70" s="229" t="s">
        <v>1809</v>
      </c>
      <c r="C70" s="222" t="s">
        <v>1390</v>
      </c>
      <c r="D70" s="262">
        <v>1</v>
      </c>
      <c r="E70" s="263">
        <v>4</v>
      </c>
      <c r="F70" s="242" t="s">
        <v>1391</v>
      </c>
      <c r="G70" s="245" t="s">
        <v>1095</v>
      </c>
      <c r="H70" s="252" t="s">
        <v>1392</v>
      </c>
      <c r="I70" s="275">
        <v>0.9</v>
      </c>
      <c r="J70" s="276">
        <v>3</v>
      </c>
      <c r="K70" s="222" t="s">
        <v>1393</v>
      </c>
      <c r="L70" s="283">
        <v>0.7</v>
      </c>
      <c r="M70" s="284">
        <v>2</v>
      </c>
      <c r="N70" s="208" t="s">
        <v>1394</v>
      </c>
      <c r="AB70" s="209"/>
    </row>
    <row r="71" spans="1:28">
      <c r="A71" s="248" t="s">
        <v>1395</v>
      </c>
      <c r="B71" s="230" t="s">
        <v>1704</v>
      </c>
      <c r="C71" s="222" t="s">
        <v>1084</v>
      </c>
      <c r="D71" s="262"/>
      <c r="E71" s="263"/>
      <c r="F71" s="242"/>
      <c r="G71" s="222"/>
      <c r="H71" s="242"/>
      <c r="I71" s="275">
        <v>0.4</v>
      </c>
      <c r="J71" s="276">
        <v>7</v>
      </c>
      <c r="K71" s="222"/>
      <c r="L71" s="283">
        <v>0.2</v>
      </c>
      <c r="M71" s="284">
        <v>7</v>
      </c>
      <c r="N71" s="211"/>
      <c r="AB71" s="209"/>
    </row>
    <row r="72" spans="1:28" ht="45">
      <c r="A72" s="248" t="s">
        <v>239</v>
      </c>
      <c r="B72" s="230" t="s">
        <v>1704</v>
      </c>
      <c r="C72" s="222" t="s">
        <v>1396</v>
      </c>
      <c r="D72" s="262">
        <v>4</v>
      </c>
      <c r="E72" s="263">
        <v>2</v>
      </c>
      <c r="F72" s="242" t="s">
        <v>1397</v>
      </c>
      <c r="G72" s="222" t="s">
        <v>1398</v>
      </c>
      <c r="H72" s="242" t="s">
        <v>1399</v>
      </c>
      <c r="I72" s="275">
        <v>0.6</v>
      </c>
      <c r="J72" s="276">
        <v>5</v>
      </c>
      <c r="K72" s="222" t="s">
        <v>219</v>
      </c>
      <c r="L72" s="283">
        <v>0.1</v>
      </c>
      <c r="M72" s="284">
        <v>5</v>
      </c>
      <c r="N72" s="208" t="s">
        <v>1400</v>
      </c>
      <c r="P72" s="210" t="s">
        <v>1401</v>
      </c>
      <c r="R72" s="210" t="s">
        <v>1402</v>
      </c>
      <c r="T72" s="210" t="s">
        <v>1403</v>
      </c>
      <c r="V72" s="210" t="s">
        <v>1404</v>
      </c>
      <c r="AB72" s="209"/>
    </row>
    <row r="73" spans="1:28" ht="45">
      <c r="A73" s="248" t="s">
        <v>634</v>
      </c>
      <c r="B73" s="230" t="s">
        <v>1704</v>
      </c>
      <c r="C73" s="222" t="s">
        <v>1405</v>
      </c>
      <c r="D73" s="262">
        <v>2</v>
      </c>
      <c r="E73" s="263">
        <v>3</v>
      </c>
      <c r="F73" s="242" t="s">
        <v>1406</v>
      </c>
      <c r="G73" s="222" t="s">
        <v>1407</v>
      </c>
      <c r="H73" s="242" t="s">
        <v>1408</v>
      </c>
      <c r="I73" s="275">
        <v>0.8</v>
      </c>
      <c r="J73" s="276">
        <v>5</v>
      </c>
      <c r="K73" s="222" t="s">
        <v>1409</v>
      </c>
      <c r="L73" s="283">
        <v>0.7</v>
      </c>
      <c r="M73" s="284">
        <v>5</v>
      </c>
      <c r="N73" s="208" t="s">
        <v>1410</v>
      </c>
      <c r="P73" s="210" t="s">
        <v>1411</v>
      </c>
      <c r="AB73" s="209"/>
    </row>
    <row r="74" spans="1:28" ht="45">
      <c r="A74" s="248" t="s">
        <v>215</v>
      </c>
      <c r="B74" s="229" t="s">
        <v>1841</v>
      </c>
      <c r="C74" s="222" t="s">
        <v>1084</v>
      </c>
      <c r="D74" s="262">
        <v>4</v>
      </c>
      <c r="E74" s="263">
        <v>1</v>
      </c>
      <c r="F74" s="242" t="s">
        <v>102</v>
      </c>
      <c r="G74" s="222"/>
      <c r="H74" s="242" t="s">
        <v>1412</v>
      </c>
      <c r="I74" s="275">
        <v>0.6</v>
      </c>
      <c r="J74" s="276">
        <v>5</v>
      </c>
      <c r="K74" s="222" t="s">
        <v>1412</v>
      </c>
      <c r="L74" s="283">
        <v>0.8</v>
      </c>
      <c r="M74" s="284">
        <v>7</v>
      </c>
      <c r="N74" s="208" t="s">
        <v>1413</v>
      </c>
      <c r="AB74" s="209"/>
    </row>
    <row r="75" spans="1:28" ht="45">
      <c r="A75" s="248" t="s">
        <v>59</v>
      </c>
      <c r="B75" s="229" t="s">
        <v>1842</v>
      </c>
      <c r="C75" s="222" t="s">
        <v>1084</v>
      </c>
      <c r="D75" s="262">
        <v>4</v>
      </c>
      <c r="E75" s="263">
        <v>1</v>
      </c>
      <c r="F75" s="242" t="s">
        <v>102</v>
      </c>
      <c r="G75" s="222"/>
      <c r="H75" s="242" t="s">
        <v>1414</v>
      </c>
      <c r="I75" s="275">
        <v>0.6</v>
      </c>
      <c r="J75" s="276">
        <v>5</v>
      </c>
      <c r="K75" s="222" t="s">
        <v>1314</v>
      </c>
      <c r="L75" s="283">
        <v>0.8</v>
      </c>
      <c r="M75" s="284">
        <v>7</v>
      </c>
      <c r="N75" s="208" t="s">
        <v>1415</v>
      </c>
      <c r="AB75" s="209"/>
    </row>
    <row r="76" spans="1:28" ht="45">
      <c r="A76" s="248" t="s">
        <v>212</v>
      </c>
      <c r="B76" s="229" t="s">
        <v>1810</v>
      </c>
      <c r="C76" s="222" t="s">
        <v>1416</v>
      </c>
      <c r="D76" s="262">
        <v>1</v>
      </c>
      <c r="E76" s="263">
        <v>3</v>
      </c>
      <c r="F76" s="242" t="s">
        <v>1417</v>
      </c>
      <c r="G76" s="245" t="s">
        <v>1095</v>
      </c>
      <c r="H76" s="242" t="s">
        <v>1418</v>
      </c>
      <c r="I76" s="275">
        <v>0.9</v>
      </c>
      <c r="J76" s="276">
        <v>3</v>
      </c>
      <c r="K76" s="222" t="s">
        <v>1419</v>
      </c>
      <c r="L76" s="283">
        <v>0.8</v>
      </c>
      <c r="M76" s="284">
        <v>2</v>
      </c>
      <c r="N76" s="208" t="s">
        <v>1420</v>
      </c>
      <c r="P76" s="210" t="s">
        <v>1421</v>
      </c>
      <c r="AB76" s="209"/>
    </row>
    <row r="77" spans="1:28" ht="45">
      <c r="A77" s="248" t="s">
        <v>635</v>
      </c>
      <c r="B77" s="229" t="s">
        <v>1811</v>
      </c>
      <c r="C77" s="222" t="s">
        <v>1422</v>
      </c>
      <c r="D77" s="262">
        <v>1</v>
      </c>
      <c r="E77" s="263">
        <v>4</v>
      </c>
      <c r="F77" s="242" t="s">
        <v>102</v>
      </c>
      <c r="G77" s="222"/>
      <c r="H77" s="242" t="s">
        <v>1423</v>
      </c>
      <c r="I77" s="275">
        <v>0.9</v>
      </c>
      <c r="J77" s="276">
        <v>3</v>
      </c>
      <c r="K77" s="222" t="s">
        <v>1424</v>
      </c>
      <c r="L77" s="283">
        <v>0.9</v>
      </c>
      <c r="M77" s="284">
        <v>3</v>
      </c>
      <c r="N77" s="208" t="s">
        <v>1425</v>
      </c>
      <c r="AB77" s="209"/>
    </row>
    <row r="78" spans="1:28" ht="75">
      <c r="A78" s="248" t="s">
        <v>60</v>
      </c>
      <c r="B78" s="222" t="s">
        <v>1812</v>
      </c>
      <c r="C78" s="222" t="s">
        <v>1790</v>
      </c>
      <c r="D78" s="262">
        <v>1</v>
      </c>
      <c r="E78" s="263">
        <v>4</v>
      </c>
      <c r="F78" s="242" t="s">
        <v>102</v>
      </c>
      <c r="G78" s="222"/>
      <c r="H78" s="242" t="s">
        <v>1426</v>
      </c>
      <c r="I78" s="275">
        <v>0.9</v>
      </c>
      <c r="J78" s="276">
        <v>3</v>
      </c>
      <c r="K78" s="222" t="s">
        <v>1424</v>
      </c>
      <c r="L78" s="283">
        <v>0.9</v>
      </c>
      <c r="M78" s="284">
        <v>3</v>
      </c>
      <c r="N78" s="208" t="s">
        <v>1427</v>
      </c>
      <c r="AB78" s="209"/>
    </row>
    <row r="79" spans="1:28" ht="75">
      <c r="A79" s="248" t="s">
        <v>636</v>
      </c>
      <c r="B79" s="230" t="s">
        <v>1705</v>
      </c>
      <c r="C79" s="222" t="s">
        <v>1428</v>
      </c>
      <c r="D79" s="262">
        <v>3</v>
      </c>
      <c r="E79" s="263">
        <v>2</v>
      </c>
      <c r="F79" s="242" t="s">
        <v>1203</v>
      </c>
      <c r="G79" s="222"/>
      <c r="H79" s="242" t="s">
        <v>1429</v>
      </c>
      <c r="I79" s="275">
        <v>0.7</v>
      </c>
      <c r="J79" s="276">
        <v>5</v>
      </c>
      <c r="K79" s="222" t="s">
        <v>1429</v>
      </c>
      <c r="L79" s="283">
        <v>0.3</v>
      </c>
      <c r="M79" s="284">
        <v>5</v>
      </c>
      <c r="N79" s="208" t="s">
        <v>1430</v>
      </c>
      <c r="AB79" s="209"/>
    </row>
    <row r="80" spans="1:28" ht="30">
      <c r="A80" s="248" t="s">
        <v>232</v>
      </c>
      <c r="B80" s="230" t="s">
        <v>1705</v>
      </c>
      <c r="C80" s="222" t="s">
        <v>1084</v>
      </c>
      <c r="D80" s="262">
        <v>4</v>
      </c>
      <c r="E80" s="263">
        <v>1</v>
      </c>
      <c r="F80" s="242" t="s">
        <v>1431</v>
      </c>
      <c r="G80" s="222"/>
      <c r="H80" s="242" t="s">
        <v>1432</v>
      </c>
      <c r="I80" s="275">
        <v>0.8</v>
      </c>
      <c r="J80" s="276">
        <v>4</v>
      </c>
      <c r="K80" s="222" t="s">
        <v>1433</v>
      </c>
      <c r="L80" s="283">
        <v>0.3</v>
      </c>
      <c r="M80" s="284">
        <v>6</v>
      </c>
      <c r="N80" s="208" t="s">
        <v>1434</v>
      </c>
      <c r="AB80" s="209"/>
    </row>
    <row r="81" spans="1:28" ht="45">
      <c r="A81" s="248" t="s">
        <v>1435</v>
      </c>
      <c r="B81" s="230" t="s">
        <v>1705</v>
      </c>
      <c r="C81" s="222" t="s">
        <v>1084</v>
      </c>
      <c r="D81" s="262">
        <v>4</v>
      </c>
      <c r="E81" s="263">
        <v>1</v>
      </c>
      <c r="F81" s="242" t="s">
        <v>1436</v>
      </c>
      <c r="G81" s="222" t="s">
        <v>1437</v>
      </c>
      <c r="H81" s="242" t="s">
        <v>1438</v>
      </c>
      <c r="I81" s="275">
        <v>0.6</v>
      </c>
      <c r="J81" s="276">
        <v>4</v>
      </c>
      <c r="K81" s="222" t="s">
        <v>1438</v>
      </c>
      <c r="L81" s="283">
        <v>0.6</v>
      </c>
      <c r="M81" s="284">
        <v>6</v>
      </c>
      <c r="N81" s="208" t="s">
        <v>1439</v>
      </c>
      <c r="AB81" s="209"/>
    </row>
    <row r="82" spans="1:28" ht="30">
      <c r="A82" s="248" t="s">
        <v>637</v>
      </c>
      <c r="B82" s="230"/>
      <c r="C82" s="222" t="s">
        <v>1084</v>
      </c>
      <c r="D82" s="262">
        <v>4</v>
      </c>
      <c r="E82" s="263">
        <v>1</v>
      </c>
      <c r="F82" s="242" t="s">
        <v>102</v>
      </c>
      <c r="G82" s="222"/>
      <c r="H82" s="242" t="s">
        <v>1440</v>
      </c>
      <c r="I82" s="275">
        <v>0.7</v>
      </c>
      <c r="J82" s="276">
        <v>5</v>
      </c>
      <c r="K82" s="222" t="s">
        <v>1441</v>
      </c>
      <c r="L82" s="283">
        <v>0.5</v>
      </c>
      <c r="M82" s="284">
        <v>5</v>
      </c>
      <c r="N82" s="208" t="s">
        <v>1442</v>
      </c>
      <c r="AB82" s="209"/>
    </row>
    <row r="83" spans="1:28" ht="30">
      <c r="A83" s="248" t="s">
        <v>638</v>
      </c>
      <c r="B83" s="230"/>
      <c r="C83" s="222" t="s">
        <v>1084</v>
      </c>
      <c r="D83" s="262">
        <v>4</v>
      </c>
      <c r="E83" s="263">
        <v>1</v>
      </c>
      <c r="F83" s="242" t="s">
        <v>102</v>
      </c>
      <c r="G83" s="222"/>
      <c r="H83" s="242" t="s">
        <v>1443</v>
      </c>
      <c r="I83" s="275">
        <v>0.7</v>
      </c>
      <c r="J83" s="276">
        <v>5</v>
      </c>
      <c r="K83" s="222" t="s">
        <v>1444</v>
      </c>
      <c r="L83" s="283">
        <v>0.5</v>
      </c>
      <c r="M83" s="284">
        <v>5</v>
      </c>
      <c r="N83" s="208" t="s">
        <v>1445</v>
      </c>
      <c r="AB83" s="209"/>
    </row>
    <row r="84" spans="1:28">
      <c r="A84" s="248" t="s">
        <v>281</v>
      </c>
      <c r="B84" s="230" t="s">
        <v>1705</v>
      </c>
      <c r="C84" s="222" t="s">
        <v>1446</v>
      </c>
      <c r="D84" s="262">
        <v>1</v>
      </c>
      <c r="E84" s="263">
        <v>4</v>
      </c>
      <c r="F84" s="242" t="s">
        <v>1447</v>
      </c>
      <c r="G84" s="243" t="s">
        <v>1448</v>
      </c>
      <c r="H84" s="242" t="s">
        <v>1449</v>
      </c>
      <c r="I84" s="275">
        <v>0.75</v>
      </c>
      <c r="J84" s="276">
        <v>3</v>
      </c>
      <c r="K84" s="222"/>
      <c r="L84" s="283">
        <v>0</v>
      </c>
      <c r="M84" s="284">
        <v>0</v>
      </c>
      <c r="N84" s="208" t="s">
        <v>1450</v>
      </c>
      <c r="AB84" s="209"/>
    </row>
    <row r="85" spans="1:28" ht="45">
      <c r="A85" s="248" t="s">
        <v>639</v>
      </c>
      <c r="B85" s="229" t="s">
        <v>1813</v>
      </c>
      <c r="C85" s="222" t="s">
        <v>1451</v>
      </c>
      <c r="D85" s="262">
        <v>1</v>
      </c>
      <c r="E85" s="263">
        <v>3</v>
      </c>
      <c r="F85" s="242" t="s">
        <v>1452</v>
      </c>
      <c r="G85" s="245" t="s">
        <v>1453</v>
      </c>
      <c r="H85" s="242" t="s">
        <v>1454</v>
      </c>
      <c r="I85" s="275">
        <v>0.9</v>
      </c>
      <c r="J85" s="276">
        <v>3</v>
      </c>
      <c r="K85" s="222" t="s">
        <v>1455</v>
      </c>
      <c r="L85" s="283">
        <v>0.8</v>
      </c>
      <c r="M85" s="284">
        <v>5</v>
      </c>
      <c r="N85" s="208" t="s">
        <v>1456</v>
      </c>
      <c r="P85" s="210" t="s">
        <v>1457</v>
      </c>
      <c r="AB85" s="209"/>
    </row>
    <row r="86" spans="1:28" ht="90">
      <c r="A86" s="248" t="s">
        <v>640</v>
      </c>
      <c r="B86" s="229" t="s">
        <v>1814</v>
      </c>
      <c r="C86" s="222" t="s">
        <v>1458</v>
      </c>
      <c r="D86" s="262">
        <v>2</v>
      </c>
      <c r="E86" s="263">
        <v>4</v>
      </c>
      <c r="F86" s="242" t="s">
        <v>1459</v>
      </c>
      <c r="G86" s="222" t="s">
        <v>1223</v>
      </c>
      <c r="H86" s="242" t="s">
        <v>1460</v>
      </c>
      <c r="I86" s="275">
        <v>0.9</v>
      </c>
      <c r="J86" s="276">
        <v>3</v>
      </c>
      <c r="K86" s="222" t="s">
        <v>1461</v>
      </c>
      <c r="L86" s="283">
        <v>0.8</v>
      </c>
      <c r="M86" s="284">
        <v>3</v>
      </c>
      <c r="N86" s="208" t="s">
        <v>1462</v>
      </c>
      <c r="P86" s="210" t="s">
        <v>1463</v>
      </c>
      <c r="AB86" s="209"/>
    </row>
    <row r="87" spans="1:28" ht="90">
      <c r="A87" s="248" t="s">
        <v>248</v>
      </c>
      <c r="B87" s="222" t="s">
        <v>1817</v>
      </c>
      <c r="C87" s="222" t="s">
        <v>1707</v>
      </c>
      <c r="D87" s="262">
        <v>2</v>
      </c>
      <c r="E87" s="263">
        <v>4</v>
      </c>
      <c r="F87" s="242" t="s">
        <v>1727</v>
      </c>
      <c r="G87" s="222" t="s">
        <v>1728</v>
      </c>
      <c r="H87" s="242" t="s">
        <v>1464</v>
      </c>
      <c r="I87" s="275">
        <v>0.9</v>
      </c>
      <c r="J87" s="276">
        <v>3</v>
      </c>
      <c r="K87" s="222" t="s">
        <v>1464</v>
      </c>
      <c r="L87" s="283">
        <v>0.7</v>
      </c>
      <c r="M87" s="284">
        <v>5</v>
      </c>
      <c r="N87" s="208" t="s">
        <v>1465</v>
      </c>
      <c r="P87" s="210" t="s">
        <v>1466</v>
      </c>
      <c r="R87" s="210" t="s">
        <v>1467</v>
      </c>
      <c r="AB87" s="209"/>
    </row>
    <row r="88" spans="1:28" ht="45">
      <c r="A88" s="248" t="s">
        <v>254</v>
      </c>
      <c r="B88" s="222" t="s">
        <v>1818</v>
      </c>
      <c r="C88" s="222" t="s">
        <v>1706</v>
      </c>
      <c r="D88" s="262">
        <v>2</v>
      </c>
      <c r="E88" s="263">
        <v>4</v>
      </c>
      <c r="F88" s="242" t="s">
        <v>1468</v>
      </c>
      <c r="G88" s="243" t="s">
        <v>1469</v>
      </c>
      <c r="H88" s="242" t="s">
        <v>1470</v>
      </c>
      <c r="I88" s="275">
        <v>0.9</v>
      </c>
      <c r="J88" s="276">
        <v>3</v>
      </c>
      <c r="K88" s="222" t="s">
        <v>1471</v>
      </c>
      <c r="L88" s="283">
        <v>0.7</v>
      </c>
      <c r="M88" s="284">
        <v>5</v>
      </c>
      <c r="N88" s="208" t="s">
        <v>1472</v>
      </c>
      <c r="P88" s="210" t="s">
        <v>1473</v>
      </c>
      <c r="R88" s="210" t="s">
        <v>1474</v>
      </c>
      <c r="T88" s="210" t="s">
        <v>1475</v>
      </c>
      <c r="AB88" s="209"/>
    </row>
    <row r="89" spans="1:28" ht="45">
      <c r="A89" s="248" t="s">
        <v>259</v>
      </c>
      <c r="B89" s="229" t="s">
        <v>1816</v>
      </c>
      <c r="C89" s="222" t="s">
        <v>1476</v>
      </c>
      <c r="D89" s="262">
        <v>2</v>
      </c>
      <c r="E89" s="263">
        <v>4</v>
      </c>
      <c r="F89" s="242" t="s">
        <v>102</v>
      </c>
      <c r="G89" s="222"/>
      <c r="H89" s="242" t="s">
        <v>1477</v>
      </c>
      <c r="I89" s="275">
        <v>0.9</v>
      </c>
      <c r="J89" s="276">
        <v>3</v>
      </c>
      <c r="K89" s="222" t="s">
        <v>1477</v>
      </c>
      <c r="L89" s="283">
        <v>0.8</v>
      </c>
      <c r="M89" s="284">
        <v>3</v>
      </c>
      <c r="N89" s="208" t="s">
        <v>1478</v>
      </c>
      <c r="AB89" s="209"/>
    </row>
    <row r="90" spans="1:28" ht="45">
      <c r="A90" s="248" t="s">
        <v>261</v>
      </c>
      <c r="B90" s="229" t="s">
        <v>1815</v>
      </c>
      <c r="C90" s="222" t="s">
        <v>1476</v>
      </c>
      <c r="D90" s="262">
        <v>2</v>
      </c>
      <c r="E90" s="263">
        <v>4</v>
      </c>
      <c r="F90" s="242" t="s">
        <v>102</v>
      </c>
      <c r="G90" s="222"/>
      <c r="H90" s="242" t="s">
        <v>1477</v>
      </c>
      <c r="I90" s="275">
        <v>0.9</v>
      </c>
      <c r="J90" s="276">
        <v>3</v>
      </c>
      <c r="K90" s="222" t="s">
        <v>1477</v>
      </c>
      <c r="L90" s="283">
        <v>0.8</v>
      </c>
      <c r="M90" s="284">
        <v>3</v>
      </c>
      <c r="N90" s="208" t="s">
        <v>1478</v>
      </c>
      <c r="AB90" s="209"/>
    </row>
    <row r="91" spans="1:28" ht="45">
      <c r="A91" s="248" t="s">
        <v>262</v>
      </c>
      <c r="B91" s="222" t="s">
        <v>1819</v>
      </c>
      <c r="C91" s="222" t="s">
        <v>1791</v>
      </c>
      <c r="D91" s="262">
        <v>3</v>
      </c>
      <c r="E91" s="263">
        <v>3</v>
      </c>
      <c r="F91" s="242" t="s">
        <v>1479</v>
      </c>
      <c r="G91" s="245" t="s">
        <v>1480</v>
      </c>
      <c r="H91" s="242" t="s">
        <v>1481</v>
      </c>
      <c r="I91" s="275">
        <v>0.9</v>
      </c>
      <c r="J91" s="276">
        <v>3</v>
      </c>
      <c r="K91" s="222" t="s">
        <v>1481</v>
      </c>
      <c r="L91" s="283">
        <v>0.7</v>
      </c>
      <c r="M91" s="284">
        <v>5</v>
      </c>
      <c r="N91" s="208" t="s">
        <v>1482</v>
      </c>
      <c r="P91" s="210" t="s">
        <v>1483</v>
      </c>
      <c r="R91" s="210" t="s">
        <v>1484</v>
      </c>
      <c r="AB91" s="209"/>
    </row>
    <row r="92" spans="1:28" ht="180">
      <c r="A92" s="248" t="s">
        <v>641</v>
      </c>
      <c r="B92" s="222" t="s">
        <v>1821</v>
      </c>
      <c r="C92" s="222" t="s">
        <v>1708</v>
      </c>
      <c r="D92" s="262">
        <v>3</v>
      </c>
      <c r="E92" s="263">
        <v>3</v>
      </c>
      <c r="F92" s="242" t="s">
        <v>1485</v>
      </c>
      <c r="G92" s="245" t="s">
        <v>1486</v>
      </c>
      <c r="H92" s="242" t="s">
        <v>1487</v>
      </c>
      <c r="I92" s="275">
        <v>0.4</v>
      </c>
      <c r="J92" s="276">
        <v>5</v>
      </c>
      <c r="K92" s="222" t="s">
        <v>1487</v>
      </c>
      <c r="L92" s="283">
        <v>0.3</v>
      </c>
      <c r="M92" s="284">
        <v>5</v>
      </c>
      <c r="N92" s="208" t="s">
        <v>1488</v>
      </c>
      <c r="P92" s="210" t="s">
        <v>1489</v>
      </c>
      <c r="AB92" s="209"/>
    </row>
    <row r="93" spans="1:28" ht="30">
      <c r="A93" s="248" t="s">
        <v>642</v>
      </c>
      <c r="B93" s="229" t="s">
        <v>1820</v>
      </c>
      <c r="C93" s="222" t="s">
        <v>1490</v>
      </c>
      <c r="D93" s="262">
        <v>3</v>
      </c>
      <c r="E93" s="263">
        <v>3</v>
      </c>
      <c r="F93" s="242" t="s">
        <v>1491</v>
      </c>
      <c r="G93" s="222"/>
      <c r="H93" s="242" t="s">
        <v>1492</v>
      </c>
      <c r="I93" s="275">
        <v>0.9</v>
      </c>
      <c r="J93" s="276">
        <v>3</v>
      </c>
      <c r="K93" s="222" t="s">
        <v>1492</v>
      </c>
      <c r="L93" s="283">
        <v>0.8</v>
      </c>
      <c r="M93" s="284">
        <v>3</v>
      </c>
      <c r="N93" s="208" t="s">
        <v>1493</v>
      </c>
      <c r="P93" s="210" t="s">
        <v>1494</v>
      </c>
      <c r="AB93" s="209"/>
    </row>
    <row r="94" spans="1:28" ht="90">
      <c r="A94" s="248" t="s">
        <v>61</v>
      </c>
      <c r="B94" s="222" t="s">
        <v>1792</v>
      </c>
      <c r="C94" s="222" t="s">
        <v>1793</v>
      </c>
      <c r="D94" s="262">
        <v>1</v>
      </c>
      <c r="E94" s="263">
        <v>4</v>
      </c>
      <c r="F94" s="242" t="s">
        <v>1495</v>
      </c>
      <c r="G94" s="222" t="s">
        <v>1722</v>
      </c>
      <c r="H94" s="242" t="s">
        <v>1496</v>
      </c>
      <c r="I94" s="275">
        <v>0.9</v>
      </c>
      <c r="J94" s="276">
        <v>1</v>
      </c>
      <c r="K94" s="222" t="s">
        <v>1496</v>
      </c>
      <c r="L94" s="283">
        <v>0.8</v>
      </c>
      <c r="M94" s="284">
        <v>2</v>
      </c>
      <c r="N94" s="208" t="s">
        <v>1497</v>
      </c>
      <c r="AB94" s="209"/>
    </row>
    <row r="95" spans="1:28" ht="30">
      <c r="A95" s="248" t="s">
        <v>231</v>
      </c>
      <c r="B95" s="229" t="s">
        <v>1822</v>
      </c>
      <c r="C95" s="222" t="s">
        <v>1498</v>
      </c>
      <c r="D95" s="262">
        <v>1</v>
      </c>
      <c r="E95" s="263">
        <v>3</v>
      </c>
      <c r="F95" s="242" t="s">
        <v>1491</v>
      </c>
      <c r="G95" s="222"/>
      <c r="H95" s="242" t="s">
        <v>1499</v>
      </c>
      <c r="I95" s="275">
        <v>0.9</v>
      </c>
      <c r="J95" s="276">
        <v>1</v>
      </c>
      <c r="K95" s="222" t="s">
        <v>1499</v>
      </c>
      <c r="L95" s="283">
        <v>0.8</v>
      </c>
      <c r="M95" s="284">
        <v>2</v>
      </c>
      <c r="N95" s="208" t="s">
        <v>1500</v>
      </c>
      <c r="P95" s="210" t="s">
        <v>1501</v>
      </c>
      <c r="AB95" s="209"/>
    </row>
    <row r="96" spans="1:28" ht="60">
      <c r="A96" s="248" t="s">
        <v>242</v>
      </c>
      <c r="B96" s="229" t="s">
        <v>1823</v>
      </c>
      <c r="C96" s="222" t="s">
        <v>1502</v>
      </c>
      <c r="D96" s="262">
        <v>3</v>
      </c>
      <c r="E96" s="263">
        <v>2</v>
      </c>
      <c r="F96" s="242" t="s">
        <v>102</v>
      </c>
      <c r="G96" s="222"/>
      <c r="H96" s="242" t="s">
        <v>1503</v>
      </c>
      <c r="I96" s="275">
        <v>0.75</v>
      </c>
      <c r="J96" s="276">
        <v>3</v>
      </c>
      <c r="K96" s="222" t="s">
        <v>1504</v>
      </c>
      <c r="L96" s="283">
        <v>0.75</v>
      </c>
      <c r="M96" s="284">
        <v>5</v>
      </c>
      <c r="N96" s="208" t="s">
        <v>1505</v>
      </c>
      <c r="AB96" s="209"/>
    </row>
    <row r="97" spans="1:28" ht="15.75">
      <c r="A97" s="248" t="s">
        <v>245</v>
      </c>
      <c r="B97" s="233" t="s">
        <v>1705</v>
      </c>
      <c r="C97" s="222" t="s">
        <v>1506</v>
      </c>
      <c r="D97" s="262">
        <v>3</v>
      </c>
      <c r="E97" s="263">
        <v>3</v>
      </c>
      <c r="F97" s="242" t="s">
        <v>1507</v>
      </c>
      <c r="G97" s="222"/>
      <c r="H97" s="242" t="s">
        <v>1508</v>
      </c>
      <c r="I97" s="275">
        <v>0.5</v>
      </c>
      <c r="J97" s="276">
        <v>3</v>
      </c>
      <c r="K97" s="222" t="s">
        <v>1508</v>
      </c>
      <c r="L97" s="283">
        <v>0.2</v>
      </c>
      <c r="M97" s="284">
        <v>4</v>
      </c>
      <c r="N97" s="208" t="s">
        <v>1509</v>
      </c>
      <c r="P97" s="210" t="s">
        <v>1510</v>
      </c>
      <c r="AB97" s="209"/>
    </row>
    <row r="98" spans="1:28" ht="75">
      <c r="A98" s="248" t="s">
        <v>62</v>
      </c>
      <c r="B98" s="233" t="s">
        <v>1705</v>
      </c>
      <c r="C98" s="222" t="s">
        <v>1511</v>
      </c>
      <c r="D98" s="262">
        <v>3</v>
      </c>
      <c r="E98" s="263">
        <v>4</v>
      </c>
      <c r="F98" s="242" t="s">
        <v>1512</v>
      </c>
      <c r="G98" s="222" t="s">
        <v>1513</v>
      </c>
      <c r="H98" s="242" t="s">
        <v>1514</v>
      </c>
      <c r="I98" s="275">
        <v>0.8</v>
      </c>
      <c r="J98" s="276">
        <v>5</v>
      </c>
      <c r="K98" s="222" t="s">
        <v>1515</v>
      </c>
      <c r="L98" s="283">
        <v>0.5</v>
      </c>
      <c r="M98" s="284">
        <v>5</v>
      </c>
      <c r="N98" s="208" t="s">
        <v>1516</v>
      </c>
      <c r="AB98" s="209"/>
    </row>
    <row r="99" spans="1:28" ht="45">
      <c r="A99" s="253" t="s">
        <v>1517</v>
      </c>
      <c r="B99" s="233" t="s">
        <v>1705</v>
      </c>
      <c r="C99" s="222" t="s">
        <v>1084</v>
      </c>
      <c r="D99" s="262">
        <v>3</v>
      </c>
      <c r="E99" s="263">
        <v>4</v>
      </c>
      <c r="F99" s="242" t="s">
        <v>1518</v>
      </c>
      <c r="G99" s="222" t="s">
        <v>1223</v>
      </c>
      <c r="H99" s="250" t="s">
        <v>1519</v>
      </c>
      <c r="I99" s="275">
        <v>0.6</v>
      </c>
      <c r="J99" s="276">
        <v>5</v>
      </c>
      <c r="K99" s="222" t="s">
        <v>1520</v>
      </c>
      <c r="L99" s="283">
        <v>0.3</v>
      </c>
      <c r="M99" s="284">
        <v>5</v>
      </c>
      <c r="N99" s="208" t="s">
        <v>1521</v>
      </c>
      <c r="AB99" s="209"/>
    </row>
    <row r="100" spans="1:28" ht="60">
      <c r="A100" s="248" t="s">
        <v>643</v>
      </c>
      <c r="B100" s="230"/>
      <c r="C100" s="222" t="s">
        <v>1522</v>
      </c>
      <c r="D100" s="262">
        <v>2</v>
      </c>
      <c r="E100" s="263">
        <v>4</v>
      </c>
      <c r="F100" s="242" t="s">
        <v>1523</v>
      </c>
      <c r="G100" s="245" t="s">
        <v>1524</v>
      </c>
      <c r="H100" s="242" t="s">
        <v>1525</v>
      </c>
      <c r="I100" s="275">
        <v>0.9</v>
      </c>
      <c r="J100" s="276">
        <v>3</v>
      </c>
      <c r="K100" s="222" t="s">
        <v>1525</v>
      </c>
      <c r="L100" s="283">
        <v>0.8</v>
      </c>
      <c r="M100" s="284">
        <v>5</v>
      </c>
      <c r="N100" s="208" t="s">
        <v>1526</v>
      </c>
      <c r="P100" s="210" t="s">
        <v>1309</v>
      </c>
      <c r="R100" t="s">
        <v>1527</v>
      </c>
      <c r="AB100" s="209"/>
    </row>
    <row r="101" spans="1:28" ht="75">
      <c r="A101" s="248" t="s">
        <v>264</v>
      </c>
      <c r="B101" s="222" t="s">
        <v>1710</v>
      </c>
      <c r="C101" s="222" t="s">
        <v>1709</v>
      </c>
      <c r="D101" s="262" t="s">
        <v>1528</v>
      </c>
      <c r="E101" s="265" t="s">
        <v>1529</v>
      </c>
      <c r="F101" s="242" t="s">
        <v>1216</v>
      </c>
      <c r="G101" s="243" t="s">
        <v>1217</v>
      </c>
      <c r="H101" s="242" t="s">
        <v>1530</v>
      </c>
      <c r="I101" s="275">
        <v>0.9</v>
      </c>
      <c r="J101" s="276">
        <v>3</v>
      </c>
      <c r="K101" s="222" t="s">
        <v>1531</v>
      </c>
      <c r="L101" s="283">
        <v>0.8</v>
      </c>
      <c r="M101" s="284">
        <v>2</v>
      </c>
      <c r="N101" s="208" t="s">
        <v>1532</v>
      </c>
      <c r="P101" s="210" t="s">
        <v>1221</v>
      </c>
      <c r="R101" s="210" t="s">
        <v>1533</v>
      </c>
      <c r="AB101" s="209"/>
    </row>
    <row r="102" spans="1:28" ht="75">
      <c r="A102" s="248" t="s">
        <v>644</v>
      </c>
      <c r="B102" s="222" t="s">
        <v>1794</v>
      </c>
      <c r="C102" s="222" t="s">
        <v>1711</v>
      </c>
      <c r="D102" s="262">
        <v>1</v>
      </c>
      <c r="E102" s="263">
        <v>4</v>
      </c>
      <c r="F102" s="242" t="s">
        <v>1534</v>
      </c>
      <c r="G102" s="245" t="s">
        <v>1095</v>
      </c>
      <c r="H102" s="242" t="s">
        <v>1535</v>
      </c>
      <c r="I102" s="275">
        <v>0.9</v>
      </c>
      <c r="J102" s="276">
        <v>3</v>
      </c>
      <c r="K102" s="222" t="s">
        <v>1536</v>
      </c>
      <c r="L102" s="283">
        <v>0.8</v>
      </c>
      <c r="M102" s="284">
        <v>3</v>
      </c>
      <c r="N102" s="208" t="s">
        <v>1537</v>
      </c>
      <c r="AB102" s="209"/>
    </row>
    <row r="103" spans="1:28" ht="90">
      <c r="A103" s="248" t="s">
        <v>250</v>
      </c>
      <c r="B103" s="230" t="s">
        <v>1705</v>
      </c>
      <c r="C103" s="222" t="s">
        <v>1084</v>
      </c>
      <c r="D103" s="262">
        <v>3</v>
      </c>
      <c r="E103" s="263">
        <v>1</v>
      </c>
      <c r="F103" s="242" t="s">
        <v>1538</v>
      </c>
      <c r="G103" s="222" t="s">
        <v>1539</v>
      </c>
      <c r="H103" s="242" t="s">
        <v>1540</v>
      </c>
      <c r="I103" s="275">
        <v>0.2</v>
      </c>
      <c r="J103" s="276">
        <v>6</v>
      </c>
      <c r="K103" s="222" t="s">
        <v>1540</v>
      </c>
      <c r="L103" s="283">
        <v>0.2</v>
      </c>
      <c r="M103" s="284">
        <v>6</v>
      </c>
      <c r="N103" s="208" t="s">
        <v>1541</v>
      </c>
      <c r="P103" s="210" t="s">
        <v>1542</v>
      </c>
      <c r="R103" s="210" t="s">
        <v>1543</v>
      </c>
      <c r="AB103" s="209"/>
    </row>
    <row r="104" spans="1:28" ht="60">
      <c r="A104" s="248" t="s">
        <v>255</v>
      </c>
      <c r="B104" s="230" t="s">
        <v>1712</v>
      </c>
      <c r="C104" s="222" t="s">
        <v>1713</v>
      </c>
      <c r="D104" s="262">
        <v>3</v>
      </c>
      <c r="E104" s="263">
        <v>2</v>
      </c>
      <c r="F104" s="242" t="s">
        <v>1544</v>
      </c>
      <c r="G104" s="222" t="s">
        <v>1545</v>
      </c>
      <c r="H104" s="242" t="s">
        <v>1546</v>
      </c>
      <c r="I104" s="275">
        <v>0.5</v>
      </c>
      <c r="J104" s="276">
        <v>7</v>
      </c>
      <c r="K104" s="222" t="s">
        <v>1546</v>
      </c>
      <c r="L104" s="283">
        <v>0.5</v>
      </c>
      <c r="M104" s="284">
        <v>7</v>
      </c>
      <c r="N104" s="208" t="s">
        <v>1547</v>
      </c>
      <c r="P104" s="210" t="s">
        <v>1548</v>
      </c>
      <c r="AB104" s="209"/>
    </row>
    <row r="105" spans="1:28" ht="60">
      <c r="A105" s="248" t="s">
        <v>645</v>
      </c>
      <c r="B105" s="229" t="s">
        <v>1824</v>
      </c>
      <c r="C105" s="222" t="s">
        <v>1549</v>
      </c>
      <c r="D105" s="262">
        <v>4</v>
      </c>
      <c r="E105" s="263">
        <v>2</v>
      </c>
      <c r="F105" s="242" t="s">
        <v>1550</v>
      </c>
      <c r="G105" s="245" t="s">
        <v>1338</v>
      </c>
      <c r="H105" s="242" t="s">
        <v>1551</v>
      </c>
      <c r="I105" s="275">
        <v>0.9</v>
      </c>
      <c r="J105" s="276">
        <v>3</v>
      </c>
      <c r="K105" s="222" t="s">
        <v>1551</v>
      </c>
      <c r="L105" s="283">
        <v>0.8</v>
      </c>
      <c r="M105" s="284">
        <v>5</v>
      </c>
      <c r="N105" s="208" t="s">
        <v>1552</v>
      </c>
      <c r="AB105" s="209"/>
    </row>
    <row r="106" spans="1:28" ht="45">
      <c r="A106" s="248" t="s">
        <v>475</v>
      </c>
      <c r="B106" s="230"/>
      <c r="C106" s="222" t="s">
        <v>1553</v>
      </c>
      <c r="D106" s="262">
        <v>3</v>
      </c>
      <c r="E106" s="263">
        <v>2</v>
      </c>
      <c r="F106" s="242" t="s">
        <v>1554</v>
      </c>
      <c r="G106" s="222" t="s">
        <v>1555</v>
      </c>
      <c r="H106" s="242" t="s">
        <v>1556</v>
      </c>
      <c r="I106" s="275">
        <v>0.8</v>
      </c>
      <c r="J106" s="276">
        <v>5</v>
      </c>
      <c r="K106" s="222" t="s">
        <v>1556</v>
      </c>
      <c r="L106" s="283">
        <v>0.75</v>
      </c>
      <c r="M106" s="284">
        <v>7</v>
      </c>
      <c r="N106" s="208" t="s">
        <v>1557</v>
      </c>
      <c r="P106" s="210" t="s">
        <v>1558</v>
      </c>
      <c r="AB106" s="209"/>
    </row>
    <row r="107" spans="1:28" ht="60">
      <c r="A107" s="248" t="s">
        <v>253</v>
      </c>
      <c r="B107" s="230" t="s">
        <v>1705</v>
      </c>
      <c r="C107" s="222" t="s">
        <v>1559</v>
      </c>
      <c r="D107" s="262">
        <v>3</v>
      </c>
      <c r="E107" s="263">
        <v>2</v>
      </c>
      <c r="F107" s="242" t="s">
        <v>1560</v>
      </c>
      <c r="G107" s="222"/>
      <c r="H107" s="242" t="s">
        <v>1561</v>
      </c>
      <c r="I107" s="275">
        <v>0.3</v>
      </c>
      <c r="J107" s="276">
        <v>5</v>
      </c>
      <c r="K107" s="222" t="s">
        <v>1562</v>
      </c>
      <c r="L107" s="283">
        <v>0.3</v>
      </c>
      <c r="M107" s="284">
        <v>5</v>
      </c>
      <c r="N107" s="208" t="s">
        <v>1563</v>
      </c>
      <c r="P107" s="210" t="s">
        <v>1564</v>
      </c>
      <c r="R107" s="210" t="s">
        <v>1565</v>
      </c>
      <c r="T107" s="210" t="s">
        <v>1566</v>
      </c>
      <c r="AB107" s="209"/>
    </row>
    <row r="108" spans="1:28">
      <c r="A108" s="248" t="s">
        <v>476</v>
      </c>
      <c r="B108" s="230"/>
      <c r="C108" s="222" t="s">
        <v>1567</v>
      </c>
      <c r="D108" s="262">
        <v>2</v>
      </c>
      <c r="E108" s="263">
        <v>3</v>
      </c>
      <c r="F108" s="242" t="s">
        <v>1568</v>
      </c>
      <c r="G108" s="222"/>
      <c r="H108" s="242" t="s">
        <v>1569</v>
      </c>
      <c r="I108" s="275">
        <v>0.5</v>
      </c>
      <c r="J108" s="276">
        <v>5</v>
      </c>
      <c r="K108" s="222" t="s">
        <v>1570</v>
      </c>
      <c r="L108" s="283">
        <v>0.2</v>
      </c>
      <c r="M108" s="284">
        <v>6</v>
      </c>
      <c r="N108" s="208"/>
      <c r="P108" s="210"/>
      <c r="R108" s="210"/>
      <c r="T108" s="210"/>
      <c r="AB108" s="209"/>
    </row>
    <row r="109" spans="1:28" ht="45">
      <c r="A109" s="248" t="s">
        <v>646</v>
      </c>
      <c r="B109" s="229" t="s">
        <v>1826</v>
      </c>
      <c r="C109" s="222" t="s">
        <v>1571</v>
      </c>
      <c r="D109" s="262">
        <v>3</v>
      </c>
      <c r="E109" s="263">
        <v>2</v>
      </c>
      <c r="F109" s="242" t="s">
        <v>1572</v>
      </c>
      <c r="G109" s="222" t="s">
        <v>1573</v>
      </c>
      <c r="H109" s="242" t="s">
        <v>1574</v>
      </c>
      <c r="I109" s="275">
        <v>0.8</v>
      </c>
      <c r="J109" s="276">
        <v>3</v>
      </c>
      <c r="K109" s="222" t="s">
        <v>1574</v>
      </c>
      <c r="L109" s="283">
        <v>0.75</v>
      </c>
      <c r="M109" s="284">
        <v>5</v>
      </c>
      <c r="N109" s="208" t="s">
        <v>1575</v>
      </c>
      <c r="AB109" s="209"/>
    </row>
    <row r="110" spans="1:28" ht="60">
      <c r="A110" s="248" t="s">
        <v>647</v>
      </c>
      <c r="B110" s="230"/>
      <c r="C110" s="222" t="s">
        <v>1576</v>
      </c>
      <c r="D110" s="262">
        <v>3</v>
      </c>
      <c r="E110" s="263">
        <v>2</v>
      </c>
      <c r="F110" s="242" t="s">
        <v>1577</v>
      </c>
      <c r="G110" s="222"/>
      <c r="H110" s="242" t="s">
        <v>1578</v>
      </c>
      <c r="I110" s="275">
        <v>0.8</v>
      </c>
      <c r="J110" s="276">
        <v>5</v>
      </c>
      <c r="K110" s="222" t="s">
        <v>1578</v>
      </c>
      <c r="L110" s="283">
        <v>0.75</v>
      </c>
      <c r="M110" s="284">
        <v>5</v>
      </c>
      <c r="N110" s="208" t="s">
        <v>1579</v>
      </c>
      <c r="AB110" s="209"/>
    </row>
    <row r="111" spans="1:28" ht="45">
      <c r="A111" s="248" t="s">
        <v>477</v>
      </c>
      <c r="B111" s="229" t="s">
        <v>1825</v>
      </c>
      <c r="C111" s="222" t="s">
        <v>1570</v>
      </c>
      <c r="D111" s="262">
        <v>4</v>
      </c>
      <c r="E111" s="263">
        <v>2</v>
      </c>
      <c r="F111" s="242" t="s">
        <v>1580</v>
      </c>
      <c r="G111" s="222"/>
      <c r="H111" s="242" t="s">
        <v>1581</v>
      </c>
      <c r="I111" s="275">
        <v>0.8</v>
      </c>
      <c r="J111" s="276">
        <v>3</v>
      </c>
      <c r="K111" s="222" t="s">
        <v>1581</v>
      </c>
      <c r="L111" s="283">
        <v>0.75</v>
      </c>
      <c r="M111" s="284">
        <v>3</v>
      </c>
      <c r="N111" s="208" t="s">
        <v>1582</v>
      </c>
      <c r="AB111" s="209"/>
    </row>
    <row r="112" spans="1:28">
      <c r="A112" s="248" t="s">
        <v>246</v>
      </c>
      <c r="B112" s="230"/>
      <c r="C112" s="222" t="s">
        <v>1084</v>
      </c>
      <c r="D112" s="262">
        <v>4</v>
      </c>
      <c r="E112" s="263">
        <v>1</v>
      </c>
      <c r="F112" s="242" t="s">
        <v>102</v>
      </c>
      <c r="G112" s="222"/>
      <c r="H112" s="242" t="s">
        <v>1188</v>
      </c>
      <c r="I112" s="275">
        <v>0.6</v>
      </c>
      <c r="J112" s="276">
        <v>5</v>
      </c>
      <c r="K112" s="222" t="s">
        <v>1314</v>
      </c>
      <c r="L112" s="283">
        <v>0.8</v>
      </c>
      <c r="M112" s="284">
        <v>7</v>
      </c>
      <c r="N112" s="208" t="s">
        <v>1583</v>
      </c>
      <c r="AB112" s="209"/>
    </row>
    <row r="113" spans="1:28">
      <c r="A113" s="248" t="s">
        <v>249</v>
      </c>
      <c r="B113" s="230"/>
      <c r="C113" s="222" t="s">
        <v>1084</v>
      </c>
      <c r="D113" s="262">
        <v>4</v>
      </c>
      <c r="E113" s="263">
        <v>1</v>
      </c>
      <c r="F113" s="242" t="s">
        <v>102</v>
      </c>
      <c r="G113" s="222"/>
      <c r="H113" s="242" t="s">
        <v>1188</v>
      </c>
      <c r="I113" s="275">
        <v>0.6</v>
      </c>
      <c r="J113" s="276">
        <v>5</v>
      </c>
      <c r="K113" s="222" t="s">
        <v>1314</v>
      </c>
      <c r="L113" s="283">
        <v>0.8</v>
      </c>
      <c r="M113" s="284">
        <v>7</v>
      </c>
      <c r="N113" s="208" t="s">
        <v>1583</v>
      </c>
      <c r="AB113" s="209"/>
    </row>
    <row r="114" spans="1:28" ht="30">
      <c r="A114" s="248" t="s">
        <v>256</v>
      </c>
      <c r="B114" s="230"/>
      <c r="C114" s="222" t="s">
        <v>1084</v>
      </c>
      <c r="D114" s="262">
        <v>4</v>
      </c>
      <c r="E114" s="263">
        <v>1</v>
      </c>
      <c r="F114" s="242" t="s">
        <v>102</v>
      </c>
      <c r="G114" s="222"/>
      <c r="H114" s="242" t="s">
        <v>1584</v>
      </c>
      <c r="I114" s="275">
        <v>0.5</v>
      </c>
      <c r="J114" s="276">
        <v>5</v>
      </c>
      <c r="K114" s="222" t="s">
        <v>1585</v>
      </c>
      <c r="L114" s="283">
        <v>0.4</v>
      </c>
      <c r="M114" s="284">
        <v>7</v>
      </c>
      <c r="N114" s="208" t="s">
        <v>1586</v>
      </c>
      <c r="AB114" s="209"/>
    </row>
    <row r="115" spans="1:28" ht="135">
      <c r="A115" s="248" t="s">
        <v>648</v>
      </c>
      <c r="B115" s="229" t="s">
        <v>1827</v>
      </c>
      <c r="C115" s="222" t="s">
        <v>1587</v>
      </c>
      <c r="D115" s="262">
        <v>2</v>
      </c>
      <c r="E115" s="263">
        <v>4</v>
      </c>
      <c r="F115" s="242" t="s">
        <v>1577</v>
      </c>
      <c r="G115" s="222"/>
      <c r="H115" s="242" t="s">
        <v>1588</v>
      </c>
      <c r="I115" s="275">
        <v>0.9</v>
      </c>
      <c r="J115" s="276">
        <v>3</v>
      </c>
      <c r="K115" s="222" t="s">
        <v>1588</v>
      </c>
      <c r="L115" s="283">
        <v>0.8</v>
      </c>
      <c r="M115" s="284">
        <v>5</v>
      </c>
      <c r="N115" s="208" t="s">
        <v>1589</v>
      </c>
      <c r="AB115" s="209"/>
    </row>
    <row r="116" spans="1:28">
      <c r="A116" s="248" t="s">
        <v>1590</v>
      </c>
      <c r="B116" s="230" t="s">
        <v>1705</v>
      </c>
      <c r="C116" s="222" t="s">
        <v>1591</v>
      </c>
      <c r="D116" s="262">
        <v>3</v>
      </c>
      <c r="E116" s="263">
        <v>1</v>
      </c>
      <c r="F116" s="242" t="s">
        <v>1592</v>
      </c>
      <c r="G116" s="222"/>
      <c r="H116" s="242" t="s">
        <v>1593</v>
      </c>
      <c r="I116" s="275">
        <v>0.4</v>
      </c>
      <c r="J116" s="276">
        <v>5</v>
      </c>
      <c r="K116" s="222" t="s">
        <v>1593</v>
      </c>
      <c r="L116" s="283">
        <v>0.2</v>
      </c>
      <c r="M116" s="284">
        <v>5</v>
      </c>
      <c r="N116" s="208" t="s">
        <v>1594</v>
      </c>
      <c r="P116" s="210" t="s">
        <v>1595</v>
      </c>
      <c r="AB116" s="209"/>
    </row>
    <row r="117" spans="1:28" ht="45">
      <c r="A117" s="248" t="s">
        <v>221</v>
      </c>
      <c r="B117" s="229" t="s">
        <v>1828</v>
      </c>
      <c r="C117" s="222" t="s">
        <v>1596</v>
      </c>
      <c r="D117" s="262">
        <v>1</v>
      </c>
      <c r="E117" s="263">
        <v>4</v>
      </c>
      <c r="F117" s="242" t="s">
        <v>1597</v>
      </c>
      <c r="G117" s="222" t="s">
        <v>1598</v>
      </c>
      <c r="H117" s="242" t="s">
        <v>1599</v>
      </c>
      <c r="I117" s="275">
        <v>0.9</v>
      </c>
      <c r="J117" s="276">
        <v>3</v>
      </c>
      <c r="K117" s="222" t="s">
        <v>1599</v>
      </c>
      <c r="L117" s="283">
        <v>0.9</v>
      </c>
      <c r="M117" s="284">
        <v>1</v>
      </c>
      <c r="N117" s="208" t="s">
        <v>1600</v>
      </c>
      <c r="AB117" s="209"/>
    </row>
    <row r="118" spans="1:28" ht="45">
      <c r="A118" s="248" t="s">
        <v>229</v>
      </c>
      <c r="B118" s="229" t="s">
        <v>1829</v>
      </c>
      <c r="C118" s="222" t="s">
        <v>1601</v>
      </c>
      <c r="D118" s="262">
        <v>1</v>
      </c>
      <c r="E118" s="263">
        <v>4</v>
      </c>
      <c r="F118" s="242" t="s">
        <v>1602</v>
      </c>
      <c r="G118" s="222" t="s">
        <v>1603</v>
      </c>
      <c r="H118" s="242" t="s">
        <v>1604</v>
      </c>
      <c r="I118" s="275">
        <v>0.9</v>
      </c>
      <c r="J118" s="276">
        <v>1</v>
      </c>
      <c r="K118" s="222" t="s">
        <v>1604</v>
      </c>
      <c r="L118" s="283">
        <v>0.9</v>
      </c>
      <c r="M118" s="284">
        <v>1</v>
      </c>
      <c r="N118" s="208" t="s">
        <v>1605</v>
      </c>
      <c r="P118" s="210" t="s">
        <v>1606</v>
      </c>
      <c r="R118" s="210" t="s">
        <v>1607</v>
      </c>
      <c r="AB118" s="209"/>
    </row>
    <row r="119" spans="1:28" ht="30">
      <c r="A119" s="248" t="s">
        <v>235</v>
      </c>
      <c r="B119" s="229" t="s">
        <v>1830</v>
      </c>
      <c r="C119" s="222" t="s">
        <v>1608</v>
      </c>
      <c r="D119" s="262">
        <v>1</v>
      </c>
      <c r="E119" s="263">
        <v>4</v>
      </c>
      <c r="F119" s="242" t="s">
        <v>1602</v>
      </c>
      <c r="G119" s="222" t="s">
        <v>1603</v>
      </c>
      <c r="H119" s="242" t="s">
        <v>1599</v>
      </c>
      <c r="I119" s="275">
        <v>0.9</v>
      </c>
      <c r="J119" s="276">
        <v>1</v>
      </c>
      <c r="K119" s="222" t="s">
        <v>1599</v>
      </c>
      <c r="L119" s="283">
        <v>0.9</v>
      </c>
      <c r="M119" s="284">
        <v>1</v>
      </c>
      <c r="N119" s="208" t="s">
        <v>1609</v>
      </c>
      <c r="P119" s="210" t="s">
        <v>1610</v>
      </c>
      <c r="AB119" s="209"/>
    </row>
    <row r="120" spans="1:28" ht="30">
      <c r="A120" s="248" t="s">
        <v>240</v>
      </c>
      <c r="B120" s="229" t="s">
        <v>1831</v>
      </c>
      <c r="C120" s="222" t="s">
        <v>1611</v>
      </c>
      <c r="D120" s="262">
        <v>4</v>
      </c>
      <c r="E120" s="263">
        <v>1</v>
      </c>
      <c r="F120" s="242" t="s">
        <v>1612</v>
      </c>
      <c r="G120" s="245" t="s">
        <v>1613</v>
      </c>
      <c r="H120" s="242" t="s">
        <v>1614</v>
      </c>
      <c r="I120" s="275">
        <v>0.4</v>
      </c>
      <c r="J120" s="276">
        <v>4</v>
      </c>
      <c r="K120" s="222" t="s">
        <v>1614</v>
      </c>
      <c r="L120" s="283">
        <v>0.3</v>
      </c>
      <c r="M120" s="284">
        <v>4</v>
      </c>
      <c r="N120" s="208" t="s">
        <v>1615</v>
      </c>
      <c r="P120" s="210" t="s">
        <v>1616</v>
      </c>
      <c r="R120" s="210" t="s">
        <v>1617</v>
      </c>
      <c r="AB120" s="209"/>
    </row>
    <row r="121" spans="1:28" ht="90">
      <c r="A121" s="248" t="s">
        <v>478</v>
      </c>
      <c r="B121" s="229" t="s">
        <v>1832</v>
      </c>
      <c r="C121" s="222" t="s">
        <v>1618</v>
      </c>
      <c r="D121" s="262">
        <v>3</v>
      </c>
      <c r="E121" s="263">
        <v>2</v>
      </c>
      <c r="F121" s="242" t="s">
        <v>1619</v>
      </c>
      <c r="G121" s="222" t="s">
        <v>1620</v>
      </c>
      <c r="H121" s="242" t="s">
        <v>1621</v>
      </c>
      <c r="I121" s="275">
        <v>0.8</v>
      </c>
      <c r="J121" s="276">
        <v>4</v>
      </c>
      <c r="K121" s="222" t="s">
        <v>1621</v>
      </c>
      <c r="L121" s="283">
        <v>0.75</v>
      </c>
      <c r="M121" s="284">
        <v>4</v>
      </c>
      <c r="N121" s="208" t="s">
        <v>1622</v>
      </c>
      <c r="P121" s="210" t="s">
        <v>1623</v>
      </c>
      <c r="R121" s="210" t="s">
        <v>1624</v>
      </c>
      <c r="AB121" s="209"/>
    </row>
    <row r="122" spans="1:28">
      <c r="A122" s="248" t="s">
        <v>1625</v>
      </c>
      <c r="B122" s="230" t="s">
        <v>1705</v>
      </c>
      <c r="C122" s="222" t="s">
        <v>1084</v>
      </c>
      <c r="D122" s="262">
        <v>4</v>
      </c>
      <c r="E122" s="263">
        <v>1</v>
      </c>
      <c r="F122" s="242"/>
      <c r="G122" s="222"/>
      <c r="H122" s="242" t="s">
        <v>1626</v>
      </c>
      <c r="I122" s="275">
        <v>0.4</v>
      </c>
      <c r="J122" s="276">
        <v>5</v>
      </c>
      <c r="K122" s="222"/>
      <c r="L122" s="283">
        <v>0.2</v>
      </c>
      <c r="M122" s="284">
        <v>5</v>
      </c>
      <c r="N122" s="208" t="s">
        <v>1627</v>
      </c>
      <c r="AB122" s="209"/>
    </row>
    <row r="123" spans="1:28" ht="45">
      <c r="A123" s="248" t="s">
        <v>220</v>
      </c>
      <c r="B123" s="230"/>
      <c r="C123" s="222" t="s">
        <v>1628</v>
      </c>
      <c r="D123" s="262">
        <v>3</v>
      </c>
      <c r="E123" s="263">
        <v>2</v>
      </c>
      <c r="F123" s="242" t="s">
        <v>1629</v>
      </c>
      <c r="G123" s="222" t="s">
        <v>1630</v>
      </c>
      <c r="H123" s="242" t="s">
        <v>1631</v>
      </c>
      <c r="I123" s="275">
        <v>0.8</v>
      </c>
      <c r="J123" s="276">
        <v>4</v>
      </c>
      <c r="K123" s="222" t="s">
        <v>1632</v>
      </c>
      <c r="L123" s="283">
        <v>0.75</v>
      </c>
      <c r="M123" s="284">
        <v>4</v>
      </c>
      <c r="N123" s="208" t="s">
        <v>1633</v>
      </c>
      <c r="AB123" s="209"/>
    </row>
    <row r="124" spans="1:28">
      <c r="A124" s="248" t="s">
        <v>1634</v>
      </c>
      <c r="B124" s="230" t="s">
        <v>1705</v>
      </c>
      <c r="C124" s="222" t="s">
        <v>1084</v>
      </c>
      <c r="D124" s="262">
        <v>4</v>
      </c>
      <c r="E124" s="263">
        <v>1</v>
      </c>
      <c r="F124" s="242" t="s">
        <v>1635</v>
      </c>
      <c r="G124" s="245" t="s">
        <v>1636</v>
      </c>
      <c r="H124" s="242" t="s">
        <v>1637</v>
      </c>
      <c r="I124" s="275">
        <v>0.8</v>
      </c>
      <c r="J124" s="276">
        <v>5</v>
      </c>
      <c r="K124" s="222"/>
      <c r="L124" s="283">
        <v>0</v>
      </c>
      <c r="M124" s="284">
        <v>4</v>
      </c>
      <c r="N124" s="208" t="s">
        <v>1638</v>
      </c>
      <c r="AB124" s="209"/>
    </row>
    <row r="125" spans="1:28">
      <c r="A125" s="248" t="s">
        <v>649</v>
      </c>
      <c r="B125" s="230" t="s">
        <v>1795</v>
      </c>
      <c r="C125" s="222" t="s">
        <v>1639</v>
      </c>
      <c r="D125" s="262">
        <v>3</v>
      </c>
      <c r="E125" s="263">
        <v>3</v>
      </c>
      <c r="F125" s="242" t="s">
        <v>1640</v>
      </c>
      <c r="G125" s="245" t="s">
        <v>1641</v>
      </c>
      <c r="H125" s="242" t="s">
        <v>1642</v>
      </c>
      <c r="I125" s="275">
        <v>0.8</v>
      </c>
      <c r="J125" s="276">
        <v>5</v>
      </c>
      <c r="K125" s="222"/>
      <c r="L125" s="283">
        <v>0</v>
      </c>
      <c r="M125" s="284">
        <v>4</v>
      </c>
      <c r="N125" s="208" t="s">
        <v>1643</v>
      </c>
      <c r="AB125" s="209"/>
    </row>
    <row r="126" spans="1:28">
      <c r="A126" s="248" t="s">
        <v>650</v>
      </c>
      <c r="B126" s="230" t="s">
        <v>1795</v>
      </c>
      <c r="C126" s="222"/>
      <c r="D126" s="262">
        <v>2</v>
      </c>
      <c r="E126" s="263">
        <v>4</v>
      </c>
      <c r="F126" s="242"/>
      <c r="G126" s="222"/>
      <c r="H126" s="242" t="s">
        <v>1409</v>
      </c>
      <c r="I126" s="275">
        <v>0.8</v>
      </c>
      <c r="J126" s="276">
        <v>5</v>
      </c>
      <c r="K126" s="222" t="s">
        <v>1409</v>
      </c>
      <c r="L126" s="283">
        <v>0.6</v>
      </c>
      <c r="M126" s="284">
        <v>5</v>
      </c>
      <c r="N126" s="208" t="s">
        <v>1644</v>
      </c>
      <c r="AB126" s="209"/>
    </row>
    <row r="127" spans="1:28">
      <c r="A127" s="248" t="s">
        <v>63</v>
      </c>
      <c r="B127" s="230" t="s">
        <v>1795</v>
      </c>
      <c r="C127" s="222"/>
      <c r="D127" s="262">
        <v>3</v>
      </c>
      <c r="E127" s="263">
        <v>3</v>
      </c>
      <c r="F127" s="242"/>
      <c r="G127" s="222"/>
      <c r="H127" s="242"/>
      <c r="I127" s="275">
        <v>0.25</v>
      </c>
      <c r="J127" s="276">
        <v>5</v>
      </c>
      <c r="K127" s="222"/>
      <c r="L127" s="283">
        <v>0.15</v>
      </c>
      <c r="M127" s="284">
        <v>5</v>
      </c>
      <c r="N127" s="208" t="s">
        <v>1645</v>
      </c>
      <c r="AB127" s="209"/>
    </row>
    <row r="128" spans="1:28" ht="30">
      <c r="A128" s="248" t="s">
        <v>651</v>
      </c>
      <c r="B128" s="229" t="s">
        <v>1833</v>
      </c>
      <c r="C128" s="222" t="s">
        <v>1084</v>
      </c>
      <c r="D128" s="262">
        <v>3</v>
      </c>
      <c r="E128" s="263">
        <v>1</v>
      </c>
      <c r="F128" s="242" t="s">
        <v>102</v>
      </c>
      <c r="G128" s="222"/>
      <c r="H128" s="242" t="s">
        <v>1646</v>
      </c>
      <c r="I128" s="275">
        <v>0.6</v>
      </c>
      <c r="J128" s="276">
        <v>5</v>
      </c>
      <c r="K128" s="222" t="s">
        <v>1647</v>
      </c>
      <c r="L128" s="283">
        <v>0.8</v>
      </c>
      <c r="M128" s="284">
        <v>7</v>
      </c>
      <c r="N128" s="208" t="s">
        <v>1648</v>
      </c>
      <c r="AB128" s="209"/>
    </row>
    <row r="129" spans="1:28" ht="90">
      <c r="A129" s="248" t="s">
        <v>652</v>
      </c>
      <c r="B129" s="229" t="s">
        <v>1834</v>
      </c>
      <c r="C129" s="222" t="s">
        <v>1649</v>
      </c>
      <c r="D129" s="262">
        <v>3</v>
      </c>
      <c r="E129" s="263">
        <v>2</v>
      </c>
      <c r="F129" s="242" t="s">
        <v>1650</v>
      </c>
      <c r="G129" s="245" t="s">
        <v>1651</v>
      </c>
      <c r="H129" s="242" t="s">
        <v>1652</v>
      </c>
      <c r="I129" s="275">
        <v>0.5</v>
      </c>
      <c r="J129" s="276">
        <v>3</v>
      </c>
      <c r="K129" s="222" t="s">
        <v>1652</v>
      </c>
      <c r="L129" s="283">
        <v>0.5</v>
      </c>
      <c r="M129" s="284">
        <v>7</v>
      </c>
      <c r="N129" s="208" t="s">
        <v>1653</v>
      </c>
      <c r="P129" s="210" t="s">
        <v>1654</v>
      </c>
      <c r="AB129" s="209"/>
    </row>
    <row r="130" spans="1:28" ht="30">
      <c r="A130" s="248" t="s">
        <v>265</v>
      </c>
      <c r="B130" s="229" t="s">
        <v>1835</v>
      </c>
      <c r="C130" s="222" t="s">
        <v>1655</v>
      </c>
      <c r="D130" s="262">
        <v>3</v>
      </c>
      <c r="E130" s="263">
        <v>3</v>
      </c>
      <c r="F130" s="242" t="s">
        <v>1534</v>
      </c>
      <c r="G130" s="222" t="s">
        <v>1603</v>
      </c>
      <c r="H130" s="242" t="s">
        <v>1656</v>
      </c>
      <c r="I130" s="275">
        <v>0.9</v>
      </c>
      <c r="J130" s="276">
        <v>3</v>
      </c>
      <c r="K130" s="222" t="s">
        <v>1656</v>
      </c>
      <c r="L130" s="283">
        <v>0.8</v>
      </c>
      <c r="M130" s="284">
        <v>5</v>
      </c>
      <c r="N130" s="208" t="s">
        <v>1657</v>
      </c>
      <c r="R130" s="210" t="s">
        <v>1658</v>
      </c>
      <c r="AB130" s="209"/>
    </row>
    <row r="131" spans="1:28" ht="60">
      <c r="A131" s="248" t="s">
        <v>1659</v>
      </c>
      <c r="B131" s="229" t="s">
        <v>1836</v>
      </c>
      <c r="C131" s="222" t="s">
        <v>1660</v>
      </c>
      <c r="D131" s="262">
        <v>1</v>
      </c>
      <c r="E131" s="263">
        <v>3</v>
      </c>
      <c r="F131" s="242" t="s">
        <v>1661</v>
      </c>
      <c r="G131" s="222" t="s">
        <v>1662</v>
      </c>
      <c r="H131" s="242" t="s">
        <v>1663</v>
      </c>
      <c r="I131" s="275">
        <v>0.9</v>
      </c>
      <c r="J131" s="276">
        <v>1</v>
      </c>
      <c r="K131" s="222" t="s">
        <v>1663</v>
      </c>
      <c r="L131" s="283">
        <v>0.9</v>
      </c>
      <c r="M131" s="284">
        <v>1</v>
      </c>
      <c r="N131" s="208" t="s">
        <v>1664</v>
      </c>
      <c r="P131" s="210" t="s">
        <v>1665</v>
      </c>
      <c r="AB131" s="209"/>
    </row>
    <row r="132" spans="1:28" ht="120">
      <c r="A132" s="248" t="s">
        <v>268</v>
      </c>
      <c r="B132" s="230" t="s">
        <v>1705</v>
      </c>
      <c r="C132" s="222" t="s">
        <v>1666</v>
      </c>
      <c r="D132" s="262">
        <v>3</v>
      </c>
      <c r="E132" s="263">
        <v>3</v>
      </c>
      <c r="F132" s="242" t="s">
        <v>1667</v>
      </c>
      <c r="G132" s="222" t="s">
        <v>1668</v>
      </c>
      <c r="H132" s="242" t="s">
        <v>1669</v>
      </c>
      <c r="I132" s="275">
        <v>0.5</v>
      </c>
      <c r="J132" s="276">
        <v>6</v>
      </c>
      <c r="K132" s="222" t="s">
        <v>1670</v>
      </c>
      <c r="L132" s="283">
        <v>0.5</v>
      </c>
      <c r="M132" s="284">
        <v>6</v>
      </c>
      <c r="N132" s="208" t="s">
        <v>1671</v>
      </c>
      <c r="P132" s="210" t="s">
        <v>1672</v>
      </c>
      <c r="R132" s="210" t="s">
        <v>1673</v>
      </c>
      <c r="T132" s="210" t="s">
        <v>1674</v>
      </c>
      <c r="V132" s="210" t="s">
        <v>1675</v>
      </c>
      <c r="AB132" s="209"/>
    </row>
    <row r="133" spans="1:28" ht="45.75" thickBot="1">
      <c r="A133" s="254" t="s">
        <v>479</v>
      </c>
      <c r="B133" s="234" t="s">
        <v>1705</v>
      </c>
      <c r="C133" s="235" t="s">
        <v>1676</v>
      </c>
      <c r="D133" s="266">
        <v>4</v>
      </c>
      <c r="E133" s="267">
        <v>2</v>
      </c>
      <c r="F133" s="246" t="s">
        <v>1677</v>
      </c>
      <c r="G133" s="235" t="s">
        <v>1678</v>
      </c>
      <c r="H133" s="246" t="s">
        <v>1679</v>
      </c>
      <c r="I133" s="277">
        <v>0.6</v>
      </c>
      <c r="J133" s="278">
        <v>6</v>
      </c>
      <c r="K133" s="235" t="s">
        <v>1680</v>
      </c>
      <c r="L133" s="285">
        <v>0.6</v>
      </c>
      <c r="M133" s="286">
        <v>6</v>
      </c>
      <c r="N133" s="214" t="s">
        <v>1681</v>
      </c>
      <c r="O133" s="215"/>
      <c r="P133" s="215"/>
      <c r="Q133" s="215"/>
      <c r="R133" s="216" t="s">
        <v>1682</v>
      </c>
      <c r="S133" s="215"/>
      <c r="T133" s="215"/>
      <c r="U133" s="215"/>
      <c r="V133" s="215"/>
      <c r="W133" s="215"/>
      <c r="X133" s="215"/>
      <c r="Y133" s="215"/>
      <c r="Z133" s="215"/>
      <c r="AA133" s="215"/>
      <c r="AB133" s="217"/>
    </row>
    <row r="134" spans="1:28">
      <c r="C134" s="144"/>
      <c r="D134" s="268"/>
      <c r="F134" s="144"/>
      <c r="G134" s="144"/>
      <c r="H134" s="144"/>
      <c r="K134" s="144"/>
    </row>
    <row r="135" spans="1:28">
      <c r="A135" s="255" t="s">
        <v>1683</v>
      </c>
      <c r="B135" s="236"/>
      <c r="C135" s="237" t="s">
        <v>1684</v>
      </c>
      <c r="D135" s="270" t="s">
        <v>1685</v>
      </c>
      <c r="F135" s="144"/>
      <c r="G135" s="144"/>
      <c r="H135" s="144"/>
      <c r="K135" s="144"/>
    </row>
    <row r="136" spans="1:28">
      <c r="A136" s="144" t="s">
        <v>1686</v>
      </c>
      <c r="C136" s="144"/>
      <c r="D136" s="268"/>
      <c r="F136" s="144"/>
      <c r="G136" s="144"/>
      <c r="H136" s="144"/>
      <c r="K136" s="144"/>
    </row>
    <row r="137" spans="1:28">
      <c r="A137" s="255" t="s">
        <v>1687</v>
      </c>
      <c r="B137" s="236"/>
      <c r="C137" s="237" t="s">
        <v>1688</v>
      </c>
      <c r="D137" s="268"/>
      <c r="F137" s="144"/>
      <c r="G137" s="144"/>
      <c r="H137" s="144"/>
      <c r="K137" s="144"/>
    </row>
    <row r="138" spans="1:28">
      <c r="A138" s="144" t="s">
        <v>1689</v>
      </c>
      <c r="C138" s="144"/>
      <c r="D138" s="268"/>
      <c r="F138" s="144"/>
      <c r="G138" s="144"/>
      <c r="H138" s="144"/>
      <c r="K138" s="144"/>
    </row>
    <row r="139" spans="1:28">
      <c r="A139" s="144" t="s">
        <v>1690</v>
      </c>
      <c r="C139" s="238" t="s">
        <v>1128</v>
      </c>
      <c r="D139" s="268"/>
      <c r="F139" s="144"/>
      <c r="G139" s="144"/>
      <c r="H139" s="144"/>
      <c r="K139" s="144"/>
    </row>
    <row r="140" spans="1:28">
      <c r="A140" s="255" t="s">
        <v>1691</v>
      </c>
      <c r="B140" s="236"/>
      <c r="C140" s="144"/>
      <c r="D140" s="268"/>
      <c r="F140" s="144"/>
      <c r="G140" s="144"/>
      <c r="H140" s="144"/>
      <c r="K140" s="144"/>
    </row>
    <row r="141" spans="1:28">
      <c r="C141" s="144"/>
      <c r="D141" s="268"/>
      <c r="F141" s="144"/>
      <c r="G141" s="144"/>
      <c r="H141" s="144"/>
      <c r="K141" s="144"/>
    </row>
    <row r="142" spans="1:28">
      <c r="C142" s="144"/>
      <c r="D142" s="268"/>
      <c r="F142" s="144"/>
      <c r="G142" s="144"/>
      <c r="H142" s="144"/>
      <c r="K142" s="144"/>
    </row>
    <row r="143" spans="1:28">
      <c r="C143" s="144"/>
      <c r="D143" s="268"/>
      <c r="F143" s="144"/>
      <c r="G143" s="144"/>
      <c r="H143" s="144"/>
      <c r="K143" s="144"/>
    </row>
    <row r="144" spans="1:28">
      <c r="C144" s="144"/>
      <c r="D144" s="268"/>
      <c r="F144" s="144"/>
      <c r="G144" s="144"/>
      <c r="H144" s="144"/>
      <c r="K144" s="144"/>
    </row>
    <row r="145" spans="3:11">
      <c r="C145" s="144"/>
      <c r="D145" s="268"/>
      <c r="F145" s="144"/>
      <c r="G145" s="144"/>
      <c r="H145" s="144"/>
      <c r="K145" s="144"/>
    </row>
    <row r="146" spans="3:11">
      <c r="C146" s="144"/>
      <c r="D146" s="268"/>
      <c r="F146" s="144"/>
      <c r="G146" s="144"/>
      <c r="H146" s="144"/>
      <c r="K146" s="144"/>
    </row>
    <row r="147" spans="3:11">
      <c r="C147" s="144"/>
      <c r="D147" s="268"/>
      <c r="F147" s="144"/>
      <c r="G147" s="144"/>
      <c r="H147" s="144"/>
      <c r="K147" s="144"/>
    </row>
    <row r="148" spans="3:11">
      <c r="C148" s="144"/>
      <c r="D148" s="268"/>
      <c r="F148" s="144"/>
      <c r="G148" s="144"/>
      <c r="H148" s="144"/>
      <c r="K148" s="144"/>
    </row>
    <row r="149" spans="3:11">
      <c r="C149" s="144"/>
      <c r="D149" s="268"/>
      <c r="F149" s="144"/>
      <c r="G149" s="144"/>
      <c r="H149" s="144"/>
      <c r="K149" s="144"/>
    </row>
    <row r="150" spans="3:11">
      <c r="C150" s="144"/>
      <c r="D150" s="268"/>
      <c r="F150" s="144"/>
      <c r="G150" s="144"/>
      <c r="H150" s="144"/>
      <c r="K150" s="144"/>
    </row>
    <row r="151" spans="3:11">
      <c r="C151" s="144"/>
      <c r="D151" s="268"/>
      <c r="F151" s="144"/>
      <c r="G151" s="144"/>
      <c r="H151" s="144"/>
      <c r="K151" s="144"/>
    </row>
    <row r="152" spans="3:11">
      <c r="C152" s="144"/>
      <c r="D152" s="268"/>
      <c r="F152" s="144"/>
      <c r="G152" s="144"/>
      <c r="H152" s="144"/>
      <c r="K152" s="144"/>
    </row>
    <row r="153" spans="3:11">
      <c r="C153" s="144"/>
      <c r="D153" s="268"/>
      <c r="F153" s="144"/>
      <c r="G153" s="144"/>
      <c r="H153" s="144"/>
      <c r="K153" s="144"/>
    </row>
    <row r="154" spans="3:11">
      <c r="C154" s="144"/>
      <c r="D154" s="268"/>
      <c r="F154" s="144"/>
      <c r="G154" s="144"/>
      <c r="H154" s="144"/>
      <c r="K154" s="144"/>
    </row>
    <row r="155" spans="3:11">
      <c r="C155" s="144"/>
      <c r="D155" s="268"/>
      <c r="F155" s="144"/>
      <c r="G155" s="144"/>
      <c r="H155" s="144"/>
      <c r="K155" s="144"/>
    </row>
    <row r="156" spans="3:11">
      <c r="C156" s="144"/>
      <c r="D156" s="268"/>
      <c r="F156" s="144"/>
      <c r="G156" s="144"/>
      <c r="H156" s="144"/>
      <c r="K156" s="144"/>
    </row>
    <row r="157" spans="3:11">
      <c r="C157" s="144"/>
      <c r="D157" s="268"/>
      <c r="F157" s="144"/>
      <c r="G157" s="144"/>
      <c r="H157" s="144"/>
      <c r="K157" s="144"/>
    </row>
    <row r="158" spans="3:11">
      <c r="C158" s="144"/>
      <c r="D158" s="268"/>
      <c r="F158" s="144"/>
      <c r="G158" s="144"/>
      <c r="H158" s="144"/>
      <c r="K158" s="144"/>
    </row>
    <row r="159" spans="3:11">
      <c r="C159" s="144"/>
      <c r="D159" s="268"/>
      <c r="F159" s="144"/>
      <c r="G159" s="144"/>
      <c r="H159" s="144"/>
      <c r="K159" s="144"/>
    </row>
    <row r="160" spans="3:11">
      <c r="C160" s="144"/>
      <c r="D160" s="268"/>
      <c r="F160" s="144"/>
      <c r="G160" s="144"/>
      <c r="H160" s="144"/>
      <c r="K160" s="144"/>
    </row>
    <row r="161" spans="3:11">
      <c r="C161" s="144"/>
      <c r="D161" s="268"/>
      <c r="F161" s="144"/>
      <c r="G161" s="144"/>
      <c r="H161" s="144"/>
      <c r="K161" s="144"/>
    </row>
    <row r="162" spans="3:11">
      <c r="C162" s="144"/>
      <c r="D162" s="268"/>
      <c r="F162" s="144"/>
      <c r="G162" s="144"/>
      <c r="H162" s="144"/>
      <c r="K162" s="144"/>
    </row>
    <row r="163" spans="3:11">
      <c r="C163" s="144"/>
      <c r="D163" s="268"/>
      <c r="F163" s="144"/>
      <c r="G163" s="144"/>
      <c r="H163" s="144"/>
      <c r="K163" s="144"/>
    </row>
    <row r="164" spans="3:11">
      <c r="C164" s="144"/>
      <c r="D164" s="268"/>
      <c r="F164" s="144"/>
      <c r="G164" s="144"/>
      <c r="H164" s="144"/>
      <c r="K164" s="144"/>
    </row>
    <row r="165" spans="3:11">
      <c r="C165" s="144"/>
      <c r="D165" s="268"/>
      <c r="F165" s="144"/>
      <c r="G165" s="144"/>
      <c r="H165" s="144"/>
      <c r="K165" s="144"/>
    </row>
    <row r="166" spans="3:11">
      <c r="C166" s="144"/>
      <c r="D166" s="268"/>
      <c r="F166" s="144"/>
      <c r="G166" s="144"/>
      <c r="H166" s="144"/>
      <c r="K166" s="144"/>
    </row>
    <row r="167" spans="3:11">
      <c r="C167" s="144"/>
      <c r="D167" s="268"/>
      <c r="F167" s="144"/>
      <c r="G167" s="144"/>
      <c r="H167" s="144"/>
      <c r="K167" s="144"/>
    </row>
  </sheetData>
  <mergeCells count="2">
    <mergeCell ref="I1:J1"/>
    <mergeCell ref="L1:M1"/>
  </mergeCells>
  <hyperlinks>
    <hyperlink ref="N48" r:id="rId1" xr:uid="{48D9C274-B388-4E2C-8EFF-D24DF6E9AB83}"/>
    <hyperlink ref="P48" r:id="rId2" xr:uid="{097FD626-9A55-451D-9804-A38D6215F6CE}"/>
    <hyperlink ref="N4" r:id="rId3" xr:uid="{9B61D30A-A049-4866-86F8-9A2B92E168E6}"/>
    <hyperlink ref="N5" r:id="rId4" location=":~:text=X%2DALD%20is%20the%20most,been%20reported%20throughout%20the%20world." display="https://www.orpha.net/consor/cgi-bin/OC_Exp.php?Expert=43 - :~:text=X%2DALD%20is%20the%20most,been%20reported%20throughout%20the%20world." xr:uid="{9D22719D-2609-4A35-8E51-5400DEBC8494}"/>
    <hyperlink ref="P7" r:id="rId5" xr:uid="{79B49FD1-4DFD-43FF-8BAF-2EDBBCE6C5B1}"/>
    <hyperlink ref="N9" r:id="rId6" xr:uid="{CE64D41A-489D-48AF-A75C-9FE55CCFB768}"/>
    <hyperlink ref="N14" r:id="rId7" xr:uid="{14A4BE79-B219-4BB3-8BF8-96D47F4CE3A3}"/>
    <hyperlink ref="P4" r:id="rId8" xr:uid="{0B7E46DA-D6DD-43FA-B584-3B46D027EC2E}"/>
    <hyperlink ref="N11" r:id="rId9" xr:uid="{A6F65628-DEFF-4A83-9B8F-DB3DD7B0182E}"/>
    <hyperlink ref="N23" r:id="rId10" xr:uid="{FD13029D-D740-41B6-8F80-D492E25495E9}"/>
    <hyperlink ref="N31" r:id="rId11" xr:uid="{CE651487-1694-4FD8-AB91-25BA2011E6DC}"/>
    <hyperlink ref="N33" r:id="rId12" xr:uid="{EC299C93-0A29-4263-B8CA-2857C983DBAE}"/>
    <hyperlink ref="P33" r:id="rId13" location=":~:text=Trikafta%20will%20cost%20%24311%2C503%20annually,million%20in%202020%2C%20Reuters%20reports." display="https://www.advisory.com/daily-briefing/2019/10/28/cf-drug - :~:text=Trikafta%20will%20cost%20%24311%2C503%20annually,million%20in%202020%2C%20Reuters%20reports." xr:uid="{A3A99A4E-6D30-4D52-A68F-9BE82F8C9DBD}"/>
    <hyperlink ref="N34" r:id="rId14" xr:uid="{61E92694-056F-4B5B-9AE6-DF7701C32A10}"/>
    <hyperlink ref="N40" r:id="rId15" location="1" display="https://www.webmd.com/children/understanding-muscular-dystrophy-basics - 1" xr:uid="{2AFE5D4D-E50B-480D-8C9B-95258F96498A}"/>
    <hyperlink ref="P40" r:id="rId16" xr:uid="{37EBD002-19EC-4FCA-8437-877F7D069085}"/>
    <hyperlink ref="Q41" r:id="rId17" xr:uid="{C3DC0F64-DD8E-4F66-9C63-913059E83F58}"/>
    <hyperlink ref="N41" r:id="rId18" xr:uid="{B5DDF5E0-8D62-447E-B04E-B97C35F84D2D}"/>
    <hyperlink ref="O41" r:id="rId19" xr:uid="{C71BBB11-4017-461E-B621-F0088587C8B5}"/>
    <hyperlink ref="P41" r:id="rId20" xr:uid="{01E05FFB-A067-4AD5-B2C0-3679E7F4AEA0}"/>
    <hyperlink ref="N42" r:id="rId21" xr:uid="{A59E3AD7-B248-4682-99A8-BAE19E9F3B80}"/>
    <hyperlink ref="O42" r:id="rId22" xr:uid="{A78E4E32-DB50-4EA2-A18B-8772F4191426}"/>
    <hyperlink ref="P42" r:id="rId23" xr:uid="{1D6435DD-15A1-4E4D-8F37-76EDCBFE3826}"/>
    <hyperlink ref="P49" r:id="rId24" location=":~:text=Published%20data%20from%20the%20Fabry,women%20in%20the%20U.S.%20general" display="https://fabrydiseasenews.com/fabry-disease-life-expectancy/ - :~:text=Published%20data%20from%20the%20Fabry,women%20in%20the%20U.S.%20general" xr:uid="{816B796E-B0A6-4EB2-85B3-3C919116D501}"/>
    <hyperlink ref="N51" r:id="rId25" xr:uid="{8F0C6674-EA6C-4F82-9470-46F3D471D77E}"/>
    <hyperlink ref="P51" r:id="rId26" xr:uid="{A11E8E2E-39C6-438C-B3F6-E93DCF6BAA94}"/>
    <hyperlink ref="R51" r:id="rId27" xr:uid="{3A445F66-E4C2-494D-AFA4-C3439ADB35EC}"/>
    <hyperlink ref="N52" r:id="rId28" xr:uid="{BC704F47-9EFC-4947-8D6C-FC48755A2D62}"/>
    <hyperlink ref="P52" r:id="rId29" xr:uid="{19E5B4B7-B449-4B3F-A144-F55A93EF6303}"/>
    <hyperlink ref="R52" r:id="rId30" xr:uid="{1DD2E4B7-494A-40E3-93A4-87EA4F014BBF}"/>
    <hyperlink ref="P54" r:id="rId31" xr:uid="{83193A30-865A-4D21-B3FC-9584104762AB}"/>
    <hyperlink ref="N54" r:id="rId32" display="https://web.archive.org/web/20190329161935/https:/www1.magellanrx.com/media/604882/2016mrxtrendreport_final.pdf" xr:uid="{9B69A32E-D066-49BC-A37F-A1428C7A8498}"/>
    <hyperlink ref="N59" r:id="rId33" location=":~:text=Last%20week%2C%20Biogen%20announced%20it,%24550%2C000%20to%20%24600%2C000%20per%20year." display=":~:text=Last%20week%2C%20Biogen%20announced%20it,%24550%2C000%20to%20%24600%2C000%20per%20year." xr:uid="{FCC171E9-0CCA-4523-B2BD-B4AD3B71FE83}"/>
    <hyperlink ref="P59" r:id="rId34" xr:uid="{C441C90B-DF63-431B-8DEE-A7D0B45F769E}"/>
    <hyperlink ref="N56" r:id="rId35" xr:uid="{F4798536-DA1E-4B60-90AA-0EC126F48E68}"/>
    <hyperlink ref="N60" r:id="rId36" location=":~:text=Approved%20in%202016%2C%20Idelvion%20combines,annual%20price%20tag%20of%20%24500%2C000." display="https://www.medscape.com/viewarticle/879422 - :~:text=Approved%20in%202016%2C%20Idelvion%20combines,annual%20price%20tag%20of%20%24500%2C000." xr:uid="{364CC7DB-34B7-4846-A366-100148E9C2FC}"/>
    <hyperlink ref="N61" r:id="rId37" xr:uid="{710EC5F8-EAF8-41B6-9937-8BA946BB5945}"/>
    <hyperlink ref="N16" r:id="rId38" xr:uid="{F6014E87-6614-457C-931E-38CADE81BC87}"/>
    <hyperlink ref="P62" r:id="rId39" xr:uid="{4506F67F-0F42-486F-87EA-DF9183B02966}"/>
    <hyperlink ref="R62" r:id="rId40" xr:uid="{D4E7FFE4-797C-4377-B683-DDA1085D9754}"/>
    <hyperlink ref="R7" r:id="rId41" xr:uid="{BAFB71C4-2ED9-452A-8D75-49EDE6FD8F9D}"/>
    <hyperlink ref="N63" r:id="rId42" xr:uid="{4B92FA49-0576-419C-BC15-AFE752AE7A73}"/>
    <hyperlink ref="T7" r:id="rId43" xr:uid="{D03F304F-C090-41AD-83EE-3DB304521DD3}"/>
    <hyperlink ref="N65" r:id="rId44" xr:uid="{C532812A-8F80-405A-8EDF-C0092B1DA9D8}"/>
    <hyperlink ref="P65" r:id="rId45" xr:uid="{73A31AEA-FD8C-4D7F-9269-AC569C43BAED}"/>
    <hyperlink ref="R65" r:id="rId46" xr:uid="{16115DD6-BF56-4B03-828E-476C60BF37E0}"/>
    <hyperlink ref="P14" r:id="rId47" xr:uid="{7DB35E0A-FF98-47EB-B1BF-033089442E12}"/>
    <hyperlink ref="X65" r:id="rId48" location=":~:text=Homozygous%20familial%20hypercholesterolemia%20(HoFH)%20is,expectancy%20is%20approximately%2033%20years." display="https://www.medscape.com/viewarticle/809475_3 - :~:text=Homozygous%20familial%20hypercholesterolemia%20(HoFH)%20is,expectancy%20is%20approximately%2033%20years." xr:uid="{A018183D-343F-46A8-AC6D-35A3235B49FA}"/>
    <hyperlink ref="N68" r:id="rId49" xr:uid="{D434DD31-B0CB-46CD-987E-EFEFD5707E08}"/>
    <hyperlink ref="N67" r:id="rId50" xr:uid="{522BEDA0-616D-49BF-BB30-9275EBD0C041}"/>
    <hyperlink ref="P68" r:id="rId51" xr:uid="{A6378C00-A9C1-4C20-9370-49E6D64B45C1}"/>
    <hyperlink ref="R68" r:id="rId52" xr:uid="{02647D91-E2D7-4345-8F4A-189B503A5C18}"/>
    <hyperlink ref="N69" r:id="rId53" xr:uid="{40396BF7-0B3F-4673-865C-3EDA06C6C263}"/>
    <hyperlink ref="N70" r:id="rId54" xr:uid="{3DC1C41F-155E-458E-94DC-9AC12DF4B60C}"/>
    <hyperlink ref="N72" r:id="rId55" xr:uid="{67AA99B3-FC15-4219-B3DC-340A99F2EFD1}"/>
    <hyperlink ref="P72" r:id="rId56" location=":~:text=Acute%20myocardial%20infarction%20(MI)%20is,year%20after%20their%20myocardial%20infarction." display="https://www.medscape.com/answers/155919-15097/what-is-the-prognosis-of-acute-myocardial-infarction-mi-heart-attack - :~:text=Acute%20myocardial%20infarction%20(MI)%20is,year%20after%20their%20myocardial%20infarction." xr:uid="{DDF1567D-A56D-44E4-AF97-45B517D9F227}"/>
    <hyperlink ref="N58" r:id="rId57" xr:uid="{33714A95-4877-4AE7-8B31-9C228E272181}"/>
    <hyperlink ref="R72" r:id="rId58" xr:uid="{86193DCA-4083-4D46-B555-76F435F5FC5E}"/>
    <hyperlink ref="V72" r:id="rId59" xr:uid="{3CF39605-A31E-4F4D-94DD-40E35B77FA70}"/>
    <hyperlink ref="T72" r:id="rId60" xr:uid="{128E5AB8-9417-4AE8-9D2F-4965D21D1667}"/>
    <hyperlink ref="N73" r:id="rId61" xr:uid="{CDEA0804-72AE-46F1-A39F-42E91735F3C9}"/>
    <hyperlink ref="P73" r:id="rId62" xr:uid="{B9171263-FFD9-46E2-BB85-925365D71293}"/>
    <hyperlink ref="N74" r:id="rId63" xr:uid="{AC50E6C3-7169-4C17-B1C1-649A847325B5}"/>
    <hyperlink ref="N75" r:id="rId64" xr:uid="{535304A7-E76F-4E2C-888B-768E4672FE6F}"/>
    <hyperlink ref="N76" r:id="rId65" xr:uid="{D8A14580-B193-43E5-B363-5FBB3C1E7299}"/>
    <hyperlink ref="P76" r:id="rId66" xr:uid="{4849964F-61FA-410B-A269-3A6BB136DE5C}"/>
    <hyperlink ref="N78" r:id="rId67" xr:uid="{5103A632-DDEB-4D4A-8E89-9E42F2669E49}"/>
    <hyperlink ref="N77" r:id="rId68" xr:uid="{BDC8A733-893C-4415-B945-9636B946D75B}"/>
    <hyperlink ref="N79" r:id="rId69" xr:uid="{9E231C18-BFDD-4098-8FB9-C7CE71453733}"/>
    <hyperlink ref="N83" r:id="rId70" xr:uid="{386F7689-2659-44F3-B9E4-8A5F67956EA0}"/>
    <hyperlink ref="N82" r:id="rId71" xr:uid="{5A44F970-89D2-44CE-9ABF-F2DD6EC8D053}"/>
    <hyperlink ref="N81" r:id="rId72" location="1" display="https://www.webmd.com/eye-health/macular-degeneration/wet-amd-signs-symptoms - 1" xr:uid="{A9C9014E-6072-4304-BF50-CD45BBFE1214}"/>
    <hyperlink ref="N80" r:id="rId73" location="1" display="https://www.webmd.com/eye-health/macular-degeneration/wet-amd-treatments - 1" xr:uid="{7C7C8BC1-2ED6-441D-91AF-B9918D714C6A}"/>
    <hyperlink ref="N85" r:id="rId74" xr:uid="{1F4FA74A-AD67-40B6-ACA8-730BE202618D}"/>
    <hyperlink ref="P85" r:id="rId75" xr:uid="{EE12359F-6559-4C96-A2E7-091D8324F56D}"/>
    <hyperlink ref="N86" r:id="rId76" xr:uid="{3BD97161-BF36-438B-9B03-ACC795F596A3}"/>
    <hyperlink ref="P86" r:id="rId77" xr:uid="{0FFC4339-20CA-4610-88C8-BF1F7220D673}"/>
    <hyperlink ref="P87" r:id="rId78" location="description" display="https://www.rxlist.com/aldurazyme-drug.htm - description" xr:uid="{C2787867-E9BC-42D9-B82D-BB9E0864BFC6}"/>
    <hyperlink ref="R87" r:id="rId79" xr:uid="{9676907E-5287-46D2-B7EB-3287DC20863D}"/>
    <hyperlink ref="N87" r:id="rId80" xr:uid="{505258CE-1334-4C0F-A57F-F15636DAAFAB}"/>
    <hyperlink ref="P88" r:id="rId81" xr:uid="{6E024B1E-AFC7-470B-9927-0A580986CB1C}"/>
    <hyperlink ref="R88" r:id="rId82" xr:uid="{5DA172F1-6FE7-4C3B-8F8B-E845D58875A5}"/>
    <hyperlink ref="T88" r:id="rId83" xr:uid="{0699B2EC-546F-455D-80BE-96AC72177041}"/>
    <hyperlink ref="N88" r:id="rId84" xr:uid="{91F399F9-CD81-4A5B-B087-65668F0ADAD9}"/>
    <hyperlink ref="N89" r:id="rId85" xr:uid="{36ABD04B-7733-4631-B226-B4261F573BBF}"/>
    <hyperlink ref="N90" r:id="rId86" xr:uid="{6EBAA3A7-5202-4280-BAEB-2A9C0D173515}"/>
    <hyperlink ref="P91" r:id="rId87" xr:uid="{11582AAA-AA1F-42F6-9721-8A3261966399}"/>
    <hyperlink ref="N91" r:id="rId88" xr:uid="{26231455-8529-4900-9CB7-B84A9B7897C2}"/>
    <hyperlink ref="N92" r:id="rId89" xr:uid="{B13028E7-C38C-483B-99FB-4526B38865FE}"/>
    <hyperlink ref="P92" r:id="rId90" xr:uid="{54962802-FE76-452E-8AA9-05ED01CC339D}"/>
    <hyperlink ref="N93" r:id="rId91" xr:uid="{D68169A8-2182-42E8-A98E-F580F62C2B1B}"/>
    <hyperlink ref="P93" r:id="rId92" xr:uid="{7523520F-A927-4094-9B96-988673629FF6}"/>
    <hyperlink ref="N94" r:id="rId93" xr:uid="{BA4796B5-31DC-401F-B3EB-BD451D713E9B}"/>
    <hyperlink ref="N95" r:id="rId94" xr:uid="{B78B6A66-7082-4E21-A801-DC93C7E47B92}"/>
    <hyperlink ref="P95" r:id="rId95" xr:uid="{9914EB2C-B942-4B88-97B0-0B71E6806324}"/>
    <hyperlink ref="N96" r:id="rId96" xr:uid="{DED24821-63BD-45B7-88B7-6D1323009836}"/>
    <hyperlink ref="N99" r:id="rId97" xr:uid="{AE98696E-9567-4EB4-B440-31E51C1D2F77}"/>
    <hyperlink ref="N98" r:id="rId98" xr:uid="{9FF1BE30-0019-4B38-BA00-1F9115469C87}"/>
    <hyperlink ref="N100" r:id="rId99" xr:uid="{A176DAF7-34F5-4086-9D64-53192AC56BF2}"/>
    <hyperlink ref="P100" r:id="rId100" xr:uid="{E0AD3C96-0FC9-486C-8ED1-739CACE6EBA8}"/>
    <hyperlink ref="N101" r:id="rId101" xr:uid="{E35D2166-559E-4A0A-97E7-D3FE37519BE5}"/>
    <hyperlink ref="P101" r:id="rId102" xr:uid="{60E56281-7D80-4223-A94A-FCDEE0DA5357}"/>
    <hyperlink ref="R101" r:id="rId103" xr:uid="{AB62061F-2126-4281-9813-D902501EF95B}"/>
    <hyperlink ref="N102" r:id="rId104" xr:uid="{8FEAF213-A00B-4674-A7FB-2ABC87FB745A}"/>
    <hyperlink ref="N103" r:id="rId105" xr:uid="{F10E853A-0F6F-4BF0-9AF2-658A308243F0}"/>
    <hyperlink ref="P103" r:id="rId106" location=":~:text=According%20to%20the%20Star%20Tribune,the%20cost%20by%20about%20%24200." display="https://www.fiercebiotech.com/medical-devices/medtronic-touts-its-upgraded-wearable-neurostimulator-to-evaluate-overactive - :~:text=According%20to%20the%20Star%20Tribune,the%20cost%20by%20about%20%24200." xr:uid="{9450305C-44B7-42A7-9528-322145783129}"/>
    <hyperlink ref="R103" r:id="rId107" xr:uid="{39E2B905-99F2-464A-8D4C-526695BCD8CE}"/>
    <hyperlink ref="P104" r:id="rId108" xr:uid="{6E9BEB84-38DF-4F73-88B8-2E2AF206EB77}"/>
    <hyperlink ref="N104" r:id="rId109" xr:uid="{619D946E-E9F7-4062-9827-5268D8E049E9}"/>
    <hyperlink ref="N106" r:id="rId110" xr:uid="{23D8A14D-FA38-4A99-AEAC-6CDAFCA53580}"/>
    <hyperlink ref="N105" r:id="rId111" xr:uid="{963981CB-0632-4988-A34E-DC013B79D561}"/>
    <hyperlink ref="P106" r:id="rId112" xr:uid="{935C0E72-38CB-4D92-9F14-388116C20AE8}"/>
    <hyperlink ref="P107" r:id="rId113" xr:uid="{1DF29F51-75AB-4471-9B68-F35F0EA77DF1}"/>
    <hyperlink ref="N107" r:id="rId114" xr:uid="{5BB82DAA-F85B-467E-8E9F-3158B5CA3EF6}"/>
    <hyperlink ref="R107" r:id="rId115" xr:uid="{5105949E-1BCC-48A3-A21F-9FFC621D32E7}"/>
    <hyperlink ref="T107" r:id="rId116" xr:uid="{2DBE01C8-96E7-47C2-BAE0-0EE160D8204E}"/>
    <hyperlink ref="N109" r:id="rId117" xr:uid="{36856847-3C97-42D0-9F82-77F3D76197F0}"/>
    <hyperlink ref="N110" r:id="rId118" xr:uid="{A4A85768-0CC7-4CD7-871B-762B53EA98AF}"/>
    <hyperlink ref="N111" r:id="rId119" xr:uid="{C2D7B8FD-7FDE-46A2-B233-12804459BAF6}"/>
    <hyperlink ref="N112" r:id="rId120" xr:uid="{4A325207-EBB3-4E6A-A189-5508D197CF4D}"/>
    <hyperlink ref="N113" r:id="rId121" xr:uid="{6BA93B40-E44D-4D19-8F9A-6CFABD1FDB72}"/>
    <hyperlink ref="N114" r:id="rId122" xr:uid="{40FEB5B3-3A0C-48DD-8CF7-72C382B867B4}"/>
    <hyperlink ref="N115" r:id="rId123" xr:uid="{C6EBEDBF-C459-40BE-8574-CAC8F37C4776}"/>
    <hyperlink ref="N116" r:id="rId124" xr:uid="{3D023AF5-0DB9-4737-8466-C73882A82D0B}"/>
    <hyperlink ref="P116" r:id="rId125" xr:uid="{BBE432C1-040D-4FED-850E-2857EFB44176}"/>
    <hyperlink ref="N117" r:id="rId126" xr:uid="{9495EA77-ED3D-4BC4-88CD-435C2F492A79}"/>
    <hyperlink ref="N118" r:id="rId127" xr:uid="{0F9D3628-8C3E-4BC1-B71D-607C651563AE}"/>
    <hyperlink ref="P118" r:id="rId128" xr:uid="{67B9D220-50D6-4112-88A3-C2F642794023}"/>
    <hyperlink ref="R91" r:id="rId129" xr:uid="{DAC0800E-2B49-45E2-A188-F49F14189EA9}"/>
    <hyperlink ref="R118" r:id="rId130" xr:uid="{2670A5E5-500C-4F9D-A653-70B4886D96FF}"/>
    <hyperlink ref="P119" r:id="rId131" xr:uid="{C4902C2C-3B79-4C94-A58C-EB8A93542910}"/>
    <hyperlink ref="N120" r:id="rId132" xr:uid="{E392CE9A-18C5-48C8-BC85-5EC5F19A3218}"/>
    <hyperlink ref="P120" r:id="rId133" xr:uid="{B7CD4A9F-DA86-4809-921C-9A7037E82CF1}"/>
    <hyperlink ref="R120" r:id="rId134" xr:uid="{A1876FCB-238F-47DE-BEE6-7CA4D4D016EB}"/>
    <hyperlink ref="P121" r:id="rId135" xr:uid="{2DF47CC1-0761-4AAB-A08F-64DF6F7F884D}"/>
    <hyperlink ref="R121" r:id="rId136" xr:uid="{E887F13D-5CC7-47EE-8691-4DEF71231643}"/>
    <hyperlink ref="N123" r:id="rId137" xr:uid="{BB6EF02C-0ACF-443D-89F0-749948F5C235}"/>
    <hyperlink ref="N124" r:id="rId138" xr:uid="{3BC0540E-7623-479B-8D10-B566545421DD}"/>
    <hyperlink ref="N128" r:id="rId139" xr:uid="{0D427EB0-F621-4868-B720-9B107280F554}"/>
    <hyperlink ref="N125" r:id="rId140" xr:uid="{4B2481FC-7662-4408-9F52-1B565FCD942E}"/>
    <hyperlink ref="N127" r:id="rId141" xr:uid="{01FA440F-DB2B-43BF-A264-0A6C4013007E}"/>
    <hyperlink ref="N130" r:id="rId142" xr:uid="{EBFC2662-35B5-46B6-B540-81346871FD81}"/>
    <hyperlink ref="N129" r:id="rId143" xr:uid="{C2C01757-2A9E-4AEA-AEE3-E4D19BA9F234}"/>
    <hyperlink ref="P129" r:id="rId144" xr:uid="{C681C381-6853-4491-969B-032E3B26FCF4}"/>
    <hyperlink ref="R130" r:id="rId145" xr:uid="{61480035-9B11-4E31-A1D4-E3B4338A91C5}"/>
    <hyperlink ref="P131" r:id="rId146" xr:uid="{2C1B760C-76B9-4643-928F-227CFAF6C785}"/>
    <hyperlink ref="N131" r:id="rId147" xr:uid="{BB215407-32B9-4DD6-B7A6-AC8B8BEB01AA}"/>
    <hyperlink ref="R132" r:id="rId148" xr:uid="{15EEE4BF-BD4E-40A2-B547-19AF3A976C68}"/>
    <hyperlink ref="P132" r:id="rId149" xr:uid="{A9D68D27-A8DF-4106-9EA2-1563E938CF16}"/>
    <hyperlink ref="N132" r:id="rId150" xr:uid="{F1216D3D-554E-49EC-8A3E-D9FE70185541}"/>
    <hyperlink ref="V132" r:id="rId151" xr:uid="{78B0B23C-5C9E-48B3-BFB9-68B74A576E47}"/>
    <hyperlink ref="N3" r:id="rId152" xr:uid="{FB4B15F8-09B1-445A-B9CA-7D724A7BF92B}"/>
    <hyperlink ref="P9" r:id="rId153" xr:uid="{45F8F6D6-36A6-49D8-A4BA-9B7AA1A850FD}"/>
    <hyperlink ref="N10" r:id="rId154" xr:uid="{9FD544E7-68C3-41EE-93B9-1C8C73B922BE}"/>
    <hyperlink ref="N12" r:id="rId155" xr:uid="{D03ECCBC-7C69-49AD-880A-FC0F56C0794A}"/>
    <hyperlink ref="R14" r:id="rId156" xr:uid="{EB5C460A-0CC4-42A2-A7E8-D898387D5C5C}"/>
    <hyperlink ref="N15" r:id="rId157" xr:uid="{EB967279-1D6F-4625-820E-3151DE339573}"/>
    <hyperlink ref="N8" r:id="rId158" xr:uid="{2A1B2158-9A84-4EF5-9B0E-2069631753D7}"/>
    <hyperlink ref="P16" r:id="rId159" xr:uid="{60F99314-7676-43A8-A8C4-7ECB38929EAB}"/>
    <hyperlink ref="N18" r:id="rId160" xr:uid="{F2B1FEDB-0E8F-4AE4-B065-D08AF534CF2F}"/>
    <hyperlink ref="N17" r:id="rId161" xr:uid="{AA695A2E-F317-417B-AA0F-110DB0408C1A}"/>
    <hyperlink ref="N19" r:id="rId162" xr:uid="{9F7722B3-DEA4-44DE-944F-18D19F8389A2}"/>
    <hyperlink ref="N21" r:id="rId163" xr:uid="{A84276A6-9FA9-45FD-BC43-6F3BBB3EC2BD}"/>
    <hyperlink ref="P20" r:id="rId164" xr:uid="{068E5C47-FF7D-4AFE-89D3-83CE74A36389}"/>
    <hyperlink ref="N22" r:id="rId165" xr:uid="{5C50CF5C-D116-49B8-9E3B-4CA2D7227BBA}"/>
    <hyperlink ref="N24" r:id="rId166" xr:uid="{3415F806-BF55-4BCA-B4D5-7BCFA99E32EE}"/>
    <hyperlink ref="N25" r:id="rId167" xr:uid="{06EBFAC5-F108-41BE-99D3-37B318A59EE1}"/>
    <hyperlink ref="P26" r:id="rId168" xr:uid="{B1B17326-5686-4465-B661-6A7CB95FD1ED}"/>
    <hyperlink ref="N26" r:id="rId169" xr:uid="{A7D14C5F-BC59-429D-86F2-921243C306CF}"/>
    <hyperlink ref="N27" r:id="rId170" xr:uid="{EE60F1A0-70DF-4CBD-A465-8037E47A5948}"/>
    <hyperlink ref="N30" r:id="rId171" xr:uid="{560430EB-785B-470A-8C4F-BF1B68A2F436}"/>
    <hyperlink ref="N29" r:id="rId172" xr:uid="{AB099575-EDED-4241-B7AB-57DD5D111DF4}"/>
    <hyperlink ref="N32" r:id="rId173" xr:uid="{3C0192BE-B3E8-40A1-9FDC-E6DD4F721329}"/>
    <hyperlink ref="N35" r:id="rId174" xr:uid="{D8802C3D-B121-409B-BA08-22B27DB1EBEC}"/>
    <hyperlink ref="N37" r:id="rId175" xr:uid="{DFA4B647-EF8F-4410-9E7B-D35EE745F82B}"/>
    <hyperlink ref="N38" r:id="rId176" xr:uid="{291E2C81-AFD7-4126-8F7F-B6617ADE19AE}"/>
    <hyperlink ref="N39" r:id="rId177" xr:uid="{2F8FA713-6209-434D-886A-D5325E5C5F4D}"/>
    <hyperlink ref="R36" r:id="rId178" xr:uid="{829D1E3F-D8A8-4B2F-9672-6A8EB87CFA78}"/>
    <hyperlink ref="P36" r:id="rId179" xr:uid="{DDA821C3-A281-4847-8CF7-57BD22C0DD22}"/>
    <hyperlink ref="N36" r:id="rId180" location="1" xr:uid="{EB16B8F2-5B31-4870-A3E2-82B752A9E999}"/>
    <hyperlink ref="N46" r:id="rId181" xr:uid="{89066847-0A85-45F6-8F59-D778453EBDE8}"/>
    <hyperlink ref="N47" r:id="rId182" xr:uid="{10EF42C0-E396-4930-A7AB-F1B6E7FCE4EC}"/>
    <hyperlink ref="N50" r:id="rId183" xr:uid="{6A18C165-ACCF-4518-9BBF-B5FED63DFCDA}"/>
    <hyperlink ref="N53" r:id="rId184" xr:uid="{15DDF02D-6545-4B97-BC7C-2981B05DC54B}"/>
    <hyperlink ref="R54" r:id="rId185" xr:uid="{1009211A-C2B4-4DBE-9432-26DB039BA2F3}"/>
    <hyperlink ref="N55" r:id="rId186" xr:uid="{BC62E2AA-491A-4F75-83F5-AD5617FBD1D9}"/>
    <hyperlink ref="P56" r:id="rId187" xr:uid="{96DB2ADF-0EEE-4282-9CDD-A1FDCDD3D095}"/>
    <hyperlink ref="N64" r:id="rId188" xr:uid="{1C9882ED-A3ED-491A-89BE-7A1083CE7F4C}"/>
    <hyperlink ref="P64" r:id="rId189" xr:uid="{501D8BA7-5052-4BD9-8DDB-8BCF6384D675}"/>
    <hyperlink ref="P66" r:id="rId190" xr:uid="{572510E6-6111-427E-9CE1-475627C10709}"/>
    <hyperlink ref="N66" r:id="rId191" xr:uid="{C59B95C6-A77F-4CFC-948B-534BB31BE6CA}"/>
    <hyperlink ref="C135" r:id="rId192" xr:uid="{8755C245-C642-49E7-921C-A35B863842AB}"/>
    <hyperlink ref="D135" r:id="rId193" xr:uid="{814646C2-383F-4350-8EAB-29377E12B499}"/>
    <hyperlink ref="C137" r:id="rId194" xr:uid="{F61FA46D-D75B-44E0-8867-5C9613ECF523}"/>
    <hyperlink ref="N45" r:id="rId195" xr:uid="{C89D7260-E7EE-4143-825D-06FBA6881211}"/>
    <hyperlink ref="N122" r:id="rId196" xr:uid="{51687DD4-36BE-4ADE-A9D7-9CFD4FF88821}"/>
    <hyperlink ref="N126" r:id="rId197" location=":~:text=Traumatic%20Brain%20Injury%20(TBI)%20is,skull%20and%20enters%20brain%20tissue." xr:uid="{8B535663-23AC-46A6-B10D-89A5DA830F1D}"/>
    <hyperlink ref="R133" r:id="rId198" xr:uid="{A4885B3E-6038-468A-83D0-FB1599ACABEC}"/>
    <hyperlink ref="N133" r:id="rId199" xr:uid="{0C9983CC-28A2-441B-B0D6-FB0C973B5F78}"/>
    <hyperlink ref="C139" r:id="rId200" xr:uid="{E752E2EF-A50F-4027-8A33-FA59E5AE4360}"/>
    <hyperlink ref="P31" r:id="rId201" xr:uid="{62F551FD-03E3-4094-8279-7A388A6BD360}"/>
    <hyperlink ref="R16" r:id="rId202" xr:uid="{D4718BA7-5CDD-40D8-8F77-D932AE584C65}"/>
    <hyperlink ref="N7" r:id="rId203" xr:uid="{2EB56EF5-47AF-41A8-BD23-53B06D246669}"/>
    <hyperlink ref="P38" r:id="rId204" xr:uid="{DF78D537-ACFE-4128-BCEC-60A6052AD293}"/>
    <hyperlink ref="R38" r:id="rId205" xr:uid="{4B371A54-30FB-46D0-8767-E6C5F2EB707D}"/>
    <hyperlink ref="P50" r:id="rId206" xr:uid="{A4257D30-678F-4BDF-A6D5-C2382699A5C2}"/>
    <hyperlink ref="R48" r:id="rId207" xr:uid="{794C4034-6BEE-433E-A53C-FE033C2C050F}"/>
    <hyperlink ref="T48" r:id="rId208" xr:uid="{F8E66C98-D825-4D64-B819-8DE6B6FE2FB1}"/>
    <hyperlink ref="V48" r:id="rId209" xr:uid="{D7878B5A-13E4-4035-A5D4-20774624FCB8}"/>
    <hyperlink ref="X48" r:id="rId210" xr:uid="{DE7D52E5-1B6C-488F-A7A7-98C1D534C0B1}"/>
    <hyperlink ref="Z48" r:id="rId211" xr:uid="{E8732033-F41B-4644-BBFE-D9408F60A867}"/>
    <hyperlink ref="P21" r:id="rId212" xr:uid="{C3B0DC66-F8E1-48EA-BB21-6A18DFDC45D5}"/>
    <hyperlink ref="P19" r:id="rId213" xr:uid="{6EAA1B3E-7840-481A-9D5A-7A5B5CEBD019}"/>
    <hyperlink ref="P22" r:id="rId214" xr:uid="{B6DA267B-B667-443E-BD04-82A0666633FE}"/>
    <hyperlink ref="P23" r:id="rId215" xr:uid="{56E1EC69-C6EB-452E-8D9D-301A72816DF8}"/>
    <hyperlink ref="P24" r:id="rId216" xr:uid="{5EBD4D0F-B1F5-40AF-896B-341A135F9317}"/>
    <hyperlink ref="P25" r:id="rId217" xr:uid="{B24FC5AD-1EA5-40F4-B327-87C6D4584C93}"/>
    <hyperlink ref="P29" r:id="rId218" xr:uid="{DC7080F0-9849-4182-9E67-457187A7B2AE}"/>
    <hyperlink ref="P30" r:id="rId219" xr:uid="{2B4D9AF4-950E-4ED8-B5CC-4A8F57D6797F}"/>
    <hyperlink ref="R31" r:id="rId220" xr:uid="{9FD366C3-2624-4AE7-B265-7AFA6C81F4C7}"/>
    <hyperlink ref="P32" r:id="rId221" xr:uid="{3C3A37A2-C0E1-4A6D-BB3C-8E8E7142060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69"/>
  <sheetViews>
    <sheetView workbookViewId="0">
      <pane ySplit="1" topLeftCell="A397" activePane="bottomLeft" state="frozen"/>
      <selection pane="bottomLeft" activeCell="Q432" sqref="Q432"/>
    </sheetView>
  </sheetViews>
  <sheetFormatPr defaultColWidth="8.85546875" defaultRowHeight="15"/>
  <cols>
    <col min="2" max="2" width="34.42578125" customWidth="1"/>
    <col min="3" max="3" width="63.140625" customWidth="1"/>
    <col min="4" max="4" width="29.140625" customWidth="1"/>
    <col min="5" max="5" width="28.85546875" customWidth="1"/>
    <col min="7" max="7" width="13.42578125" customWidth="1"/>
    <col min="8" max="8" width="14" customWidth="1"/>
    <col min="9" max="9" width="14.42578125" customWidth="1"/>
    <col min="10" max="10" width="16.140625" customWidth="1"/>
    <col min="11" max="11" width="13.42578125" customWidth="1"/>
    <col min="12" max="12" width="13.85546875" customWidth="1"/>
    <col min="13" max="15" width="12.140625" customWidth="1"/>
    <col min="16" max="16" width="13" customWidth="1"/>
  </cols>
  <sheetData>
    <row r="1" spans="1:18">
      <c r="A1" s="10">
        <f>COUNTIF(B:B,"&gt;"&amp;"a")</f>
        <v>469</v>
      </c>
      <c r="B1" s="4" t="s">
        <v>297</v>
      </c>
      <c r="C1" s="4" t="s">
        <v>301</v>
      </c>
      <c r="D1" s="4" t="s">
        <v>196</v>
      </c>
      <c r="E1" s="4" t="s">
        <v>302</v>
      </c>
      <c r="F1" s="4" t="s">
        <v>303</v>
      </c>
      <c r="G1" s="43" t="s">
        <v>674</v>
      </c>
      <c r="H1" s="43" t="s">
        <v>675</v>
      </c>
      <c r="I1" s="43" t="s">
        <v>672</v>
      </c>
      <c r="J1" s="43" t="s">
        <v>673</v>
      </c>
      <c r="K1" s="43" t="s">
        <v>670</v>
      </c>
      <c r="L1" s="43" t="s">
        <v>671</v>
      </c>
      <c r="M1" s="348" t="s">
        <v>2107</v>
      </c>
      <c r="N1" s="349" t="s">
        <v>2108</v>
      </c>
      <c r="O1" s="348" t="s">
        <v>2109</v>
      </c>
      <c r="P1" s="349" t="s">
        <v>2110</v>
      </c>
      <c r="R1" s="8" t="s">
        <v>676</v>
      </c>
    </row>
    <row r="2" spans="1:18">
      <c r="A2" s="10">
        <f t="shared" ref="A2:A65" ca="1" si="0">IF(B1=B2,"",ROW(A2)-1+MATCH(B2,INDIRECT("B"&amp;ROW(A2)&amp;":"&amp;"B"&amp;$A$1),1))</f>
        <v>3</v>
      </c>
      <c r="B2" s="350" t="s">
        <v>54</v>
      </c>
      <c r="C2" s="350" t="s">
        <v>677</v>
      </c>
      <c r="D2" s="10" t="s">
        <v>52</v>
      </c>
      <c r="E2" s="350" t="s">
        <v>480</v>
      </c>
      <c r="F2" s="350">
        <v>72</v>
      </c>
      <c r="G2" s="17">
        <f t="shared" ref="G2:G65" si="1">IF($R$2=1,K2,I2)</f>
        <v>5.25</v>
      </c>
      <c r="H2" s="17">
        <f t="shared" ref="H2:H65" si="2">IF($R$2=1,L2,J2)</f>
        <v>196.07745</v>
      </c>
      <c r="I2" s="17">
        <v>5.25</v>
      </c>
      <c r="J2" s="17">
        <v>196.07745</v>
      </c>
      <c r="K2" s="17">
        <v>10.5</v>
      </c>
      <c r="L2" s="17">
        <v>653.5915</v>
      </c>
      <c r="M2" s="346">
        <v>0.5</v>
      </c>
      <c r="N2" s="17">
        <v>7</v>
      </c>
      <c r="O2" s="346">
        <v>0.3</v>
      </c>
      <c r="P2" s="17">
        <v>5</v>
      </c>
      <c r="R2" s="94">
        <v>2</v>
      </c>
    </row>
    <row r="3" spans="1:18">
      <c r="A3" s="10" t="str">
        <f t="shared" ca="1" si="0"/>
        <v/>
      </c>
      <c r="B3" s="350" t="s">
        <v>54</v>
      </c>
      <c r="C3" s="350" t="s">
        <v>678</v>
      </c>
      <c r="D3" s="10" t="s">
        <v>52</v>
      </c>
      <c r="E3" s="350" t="s">
        <v>481</v>
      </c>
      <c r="F3" s="350">
        <v>72</v>
      </c>
      <c r="G3" s="17">
        <f t="shared" si="1"/>
        <v>10.5</v>
      </c>
      <c r="H3" s="17">
        <f t="shared" si="2"/>
        <v>392.1549</v>
      </c>
      <c r="I3" s="17">
        <v>10.5</v>
      </c>
      <c r="J3" s="17">
        <v>392.1549</v>
      </c>
      <c r="K3" s="17">
        <v>21</v>
      </c>
      <c r="L3" s="17">
        <v>1307.183</v>
      </c>
      <c r="M3" s="346">
        <v>0.5</v>
      </c>
      <c r="N3" s="17">
        <v>7</v>
      </c>
      <c r="O3" s="346">
        <v>0.3</v>
      </c>
      <c r="P3" s="17">
        <v>5</v>
      </c>
    </row>
    <row r="4" spans="1:18">
      <c r="A4" s="10">
        <f t="shared" ca="1" si="0"/>
        <v>4</v>
      </c>
      <c r="B4" s="65" t="s">
        <v>612</v>
      </c>
      <c r="C4" s="350" t="s">
        <v>679</v>
      </c>
      <c r="D4" s="10" t="s">
        <v>50</v>
      </c>
      <c r="E4" s="351" t="s">
        <v>653</v>
      </c>
      <c r="F4" s="352">
        <v>25</v>
      </c>
      <c r="G4" s="17">
        <f t="shared" si="1"/>
        <v>120.96</v>
      </c>
      <c r="H4" s="17">
        <f t="shared" si="2"/>
        <v>4012.5487499999995</v>
      </c>
      <c r="I4" s="17">
        <v>120.96</v>
      </c>
      <c r="J4" s="17">
        <v>4012.5487499999995</v>
      </c>
      <c r="K4" s="17">
        <v>216</v>
      </c>
      <c r="L4" s="17">
        <v>8188.875</v>
      </c>
      <c r="M4" s="346">
        <v>0.8</v>
      </c>
      <c r="N4" s="17">
        <v>3</v>
      </c>
      <c r="O4" s="346">
        <v>0.7</v>
      </c>
      <c r="P4" s="17">
        <v>3</v>
      </c>
    </row>
    <row r="5" spans="1:18">
      <c r="A5" s="10">
        <f t="shared" ca="1" si="0"/>
        <v>5</v>
      </c>
      <c r="B5" s="350" t="s">
        <v>55</v>
      </c>
      <c r="C5" s="350" t="s">
        <v>680</v>
      </c>
      <c r="D5" s="10" t="s">
        <v>51</v>
      </c>
      <c r="E5" s="350" t="s">
        <v>482</v>
      </c>
      <c r="F5" s="350">
        <v>54</v>
      </c>
      <c r="G5" s="17">
        <f t="shared" si="1"/>
        <v>35.1</v>
      </c>
      <c r="H5" s="17">
        <f t="shared" si="2"/>
        <v>210.22589999999997</v>
      </c>
      <c r="I5" s="17">
        <v>35.1</v>
      </c>
      <c r="J5" s="17">
        <v>210.22589999999997</v>
      </c>
      <c r="K5" s="17">
        <v>39</v>
      </c>
      <c r="L5" s="17">
        <v>700.75299999999993</v>
      </c>
      <c r="M5" s="346">
        <v>0.9</v>
      </c>
      <c r="N5" s="17">
        <v>2</v>
      </c>
      <c r="O5" s="346">
        <v>0.3</v>
      </c>
      <c r="P5" s="17">
        <v>3</v>
      </c>
    </row>
    <row r="6" spans="1:18">
      <c r="A6" s="10">
        <f t="shared" ca="1" si="0"/>
        <v>6</v>
      </c>
      <c r="B6" s="350" t="s">
        <v>2117</v>
      </c>
      <c r="C6" s="350" t="s">
        <v>2164</v>
      </c>
      <c r="D6" s="10" t="s">
        <v>51</v>
      </c>
      <c r="E6" s="350" t="s">
        <v>482</v>
      </c>
      <c r="F6" s="350">
        <v>29</v>
      </c>
      <c r="G6" s="17">
        <f t="shared" si="1"/>
        <v>8.4266874999999981</v>
      </c>
      <c r="H6" s="17">
        <f t="shared" si="2"/>
        <v>432.94239999999996</v>
      </c>
      <c r="I6" s="17">
        <v>8.4266874999999981</v>
      </c>
      <c r="J6" s="17">
        <v>432.94239999999996</v>
      </c>
      <c r="K6" s="17">
        <v>14.1625</v>
      </c>
      <c r="L6" s="17">
        <v>636.67999999999995</v>
      </c>
      <c r="M6" s="346">
        <v>0.7</v>
      </c>
      <c r="N6" s="17">
        <v>3</v>
      </c>
      <c r="O6" s="346">
        <v>0.8</v>
      </c>
      <c r="P6" s="17">
        <v>5</v>
      </c>
    </row>
    <row r="7" spans="1:18">
      <c r="A7" s="10">
        <f t="shared" ca="1" si="0"/>
        <v>8</v>
      </c>
      <c r="B7" s="65" t="s">
        <v>208</v>
      </c>
      <c r="C7" s="350" t="s">
        <v>681</v>
      </c>
      <c r="D7" s="10" t="s">
        <v>51</v>
      </c>
      <c r="E7" s="350" t="s">
        <v>483</v>
      </c>
      <c r="F7" s="352">
        <v>20</v>
      </c>
      <c r="G7" s="17">
        <f t="shared" si="1"/>
        <v>840</v>
      </c>
      <c r="H7" s="17">
        <f t="shared" si="2"/>
        <v>3465</v>
      </c>
      <c r="I7" s="17">
        <v>840</v>
      </c>
      <c r="J7" s="17">
        <v>3465</v>
      </c>
      <c r="K7" s="17">
        <v>1500</v>
      </c>
      <c r="L7" s="17">
        <v>8250</v>
      </c>
      <c r="M7" s="346">
        <v>0.8</v>
      </c>
      <c r="N7" s="17">
        <v>3</v>
      </c>
      <c r="O7" s="346">
        <v>0.6</v>
      </c>
      <c r="P7" s="17">
        <v>6</v>
      </c>
    </row>
    <row r="8" spans="1:18">
      <c r="A8" s="10" t="str">
        <f t="shared" ca="1" si="0"/>
        <v/>
      </c>
      <c r="B8" s="65" t="s">
        <v>208</v>
      </c>
      <c r="C8" s="350" t="s">
        <v>1947</v>
      </c>
      <c r="D8" s="10" t="s">
        <v>51</v>
      </c>
      <c r="E8" s="350" t="s">
        <v>1948</v>
      </c>
      <c r="F8" s="352">
        <v>22</v>
      </c>
      <c r="G8" s="17">
        <f t="shared" si="1"/>
        <v>2000</v>
      </c>
      <c r="H8" s="17">
        <f t="shared" si="2"/>
        <v>8250</v>
      </c>
      <c r="I8" s="17">
        <v>2000</v>
      </c>
      <c r="J8" s="17">
        <v>8250</v>
      </c>
      <c r="K8" s="17">
        <v>5000</v>
      </c>
      <c r="L8" s="17">
        <v>27500</v>
      </c>
      <c r="M8" s="346">
        <v>0.8</v>
      </c>
      <c r="N8" s="17">
        <v>3</v>
      </c>
      <c r="O8" s="346">
        <v>0.6</v>
      </c>
      <c r="P8" s="17">
        <v>6</v>
      </c>
    </row>
    <row r="9" spans="1:18">
      <c r="A9" s="10">
        <f t="shared" ca="1" si="0"/>
        <v>9</v>
      </c>
      <c r="B9" s="65" t="s">
        <v>464</v>
      </c>
      <c r="C9" s="350" t="s">
        <v>682</v>
      </c>
      <c r="D9" s="10" t="s">
        <v>51</v>
      </c>
      <c r="E9" s="350" t="s">
        <v>484</v>
      </c>
      <c r="F9" s="352">
        <v>42</v>
      </c>
      <c r="G9" s="17">
        <f t="shared" si="1"/>
        <v>25.992000000000004</v>
      </c>
      <c r="H9" s="17">
        <f t="shared" si="2"/>
        <v>82.277999999999992</v>
      </c>
      <c r="I9" s="17">
        <v>25.992000000000004</v>
      </c>
      <c r="J9" s="17">
        <v>82.277999999999992</v>
      </c>
      <c r="K9" s="17">
        <v>32.49</v>
      </c>
      <c r="L9" s="17">
        <v>137.13</v>
      </c>
      <c r="M9" s="346">
        <v>0.8</v>
      </c>
      <c r="N9" s="17">
        <v>4</v>
      </c>
      <c r="O9" s="346">
        <v>0.6</v>
      </c>
      <c r="P9" s="17">
        <v>4</v>
      </c>
    </row>
    <row r="10" spans="1:18">
      <c r="A10" s="10">
        <f t="shared" ca="1" si="0"/>
        <v>11</v>
      </c>
      <c r="B10" s="65" t="s">
        <v>214</v>
      </c>
      <c r="C10" s="350" t="s">
        <v>1949</v>
      </c>
      <c r="D10" s="10" t="s">
        <v>51</v>
      </c>
      <c r="E10" s="351" t="s">
        <v>2165</v>
      </c>
      <c r="F10" s="352">
        <v>56</v>
      </c>
      <c r="G10" s="17">
        <f t="shared" si="1"/>
        <v>550.80000000000007</v>
      </c>
      <c r="H10" s="17">
        <f t="shared" si="2"/>
        <v>492</v>
      </c>
      <c r="I10" s="17">
        <v>550.80000000000007</v>
      </c>
      <c r="J10" s="17">
        <v>492</v>
      </c>
      <c r="K10" s="17">
        <v>612</v>
      </c>
      <c r="L10" s="17">
        <v>820</v>
      </c>
      <c r="M10" s="346">
        <v>0.9</v>
      </c>
      <c r="N10" s="17">
        <v>3</v>
      </c>
      <c r="O10" s="346">
        <v>0.6</v>
      </c>
      <c r="P10" s="17">
        <v>2</v>
      </c>
    </row>
    <row r="11" spans="1:18">
      <c r="A11" s="10" t="str">
        <f t="shared" ca="1" si="0"/>
        <v/>
      </c>
      <c r="B11" s="65" t="s">
        <v>214</v>
      </c>
      <c r="C11" s="350" t="s">
        <v>1950</v>
      </c>
      <c r="D11" s="10" t="s">
        <v>51</v>
      </c>
      <c r="E11" s="351" t="s">
        <v>582</v>
      </c>
      <c r="F11" s="352">
        <v>42</v>
      </c>
      <c r="G11" s="17">
        <f t="shared" si="1"/>
        <v>550.80000000000007</v>
      </c>
      <c r="H11" s="17">
        <f t="shared" si="2"/>
        <v>492</v>
      </c>
      <c r="I11" s="17">
        <v>550.80000000000007</v>
      </c>
      <c r="J11" s="17">
        <v>492</v>
      </c>
      <c r="K11" s="17">
        <v>612</v>
      </c>
      <c r="L11" s="17">
        <v>820</v>
      </c>
      <c r="M11" s="346">
        <v>0.9</v>
      </c>
      <c r="N11" s="17">
        <v>3</v>
      </c>
      <c r="O11" s="346">
        <v>0.6</v>
      </c>
      <c r="P11" s="17">
        <v>2</v>
      </c>
    </row>
    <row r="12" spans="1:18">
      <c r="A12" s="10">
        <f t="shared" ca="1" si="0"/>
        <v>12</v>
      </c>
      <c r="B12" s="65" t="s">
        <v>199</v>
      </c>
      <c r="C12" s="350" t="s">
        <v>683</v>
      </c>
      <c r="D12" s="10" t="s">
        <v>48</v>
      </c>
      <c r="E12" s="351" t="s">
        <v>485</v>
      </c>
      <c r="F12" s="352">
        <v>54</v>
      </c>
      <c r="G12" s="17">
        <f t="shared" si="1"/>
        <v>11.700000000000001</v>
      </c>
      <c r="H12" s="17">
        <f t="shared" si="2"/>
        <v>231.54300000000001</v>
      </c>
      <c r="I12" s="17">
        <v>11.700000000000001</v>
      </c>
      <c r="J12" s="17">
        <v>231.54300000000001</v>
      </c>
      <c r="K12" s="17">
        <v>13</v>
      </c>
      <c r="L12" s="17">
        <v>289.42874999999998</v>
      </c>
      <c r="M12" s="346">
        <v>0.9</v>
      </c>
      <c r="N12" s="17">
        <v>3</v>
      </c>
      <c r="O12" s="346">
        <v>0.8</v>
      </c>
      <c r="P12" s="17">
        <v>6</v>
      </c>
    </row>
    <row r="13" spans="1:18">
      <c r="A13" s="10">
        <f t="shared" ca="1" si="0"/>
        <v>13</v>
      </c>
      <c r="B13" s="65" t="s">
        <v>1940</v>
      </c>
      <c r="C13" s="350" t="s">
        <v>1951</v>
      </c>
      <c r="D13" s="10" t="s">
        <v>48</v>
      </c>
      <c r="E13" s="351" t="s">
        <v>1952</v>
      </c>
      <c r="F13" s="352">
        <v>56</v>
      </c>
      <c r="G13" s="17">
        <f t="shared" si="1"/>
        <v>76.642199999999988</v>
      </c>
      <c r="H13" s="17">
        <f t="shared" si="2"/>
        <v>232.05780000000001</v>
      </c>
      <c r="I13" s="17">
        <v>76.642199999999988</v>
      </c>
      <c r="J13" s="17">
        <v>232.05780000000001</v>
      </c>
      <c r="K13" s="17">
        <v>85.157999999999987</v>
      </c>
      <c r="L13" s="17">
        <v>290.07225</v>
      </c>
      <c r="M13" s="346">
        <v>0.9</v>
      </c>
      <c r="N13" s="17">
        <v>3</v>
      </c>
      <c r="O13" s="346">
        <v>0.8</v>
      </c>
      <c r="P13" s="17">
        <v>6</v>
      </c>
    </row>
    <row r="14" spans="1:18">
      <c r="A14" s="10">
        <f t="shared" ca="1" si="0"/>
        <v>14</v>
      </c>
      <c r="B14" s="65" t="s">
        <v>198</v>
      </c>
      <c r="C14" s="350" t="s">
        <v>684</v>
      </c>
      <c r="D14" s="10" t="s">
        <v>37</v>
      </c>
      <c r="E14" s="351" t="s">
        <v>486</v>
      </c>
      <c r="F14" s="352">
        <v>41</v>
      </c>
      <c r="G14" s="17">
        <f t="shared" si="1"/>
        <v>339.76249999999999</v>
      </c>
      <c r="H14" s="17">
        <f t="shared" si="2"/>
        <v>6581.54</v>
      </c>
      <c r="I14" s="17">
        <v>339.76249999999999</v>
      </c>
      <c r="J14" s="17">
        <v>6581.54</v>
      </c>
      <c r="K14" s="17">
        <v>4853.75</v>
      </c>
      <c r="L14" s="17">
        <v>94022</v>
      </c>
      <c r="M14" s="346">
        <v>0.1</v>
      </c>
      <c r="N14" s="17">
        <v>5</v>
      </c>
      <c r="O14" s="346">
        <v>0.1</v>
      </c>
      <c r="P14" s="17">
        <v>5</v>
      </c>
    </row>
    <row r="15" spans="1:18">
      <c r="A15" s="10">
        <f t="shared" ca="1" si="0"/>
        <v>15</v>
      </c>
      <c r="B15" s="65" t="s">
        <v>1143</v>
      </c>
      <c r="C15" s="350" t="s">
        <v>1953</v>
      </c>
      <c r="D15" s="10" t="s">
        <v>53</v>
      </c>
      <c r="E15" s="350" t="s">
        <v>1954</v>
      </c>
      <c r="F15" s="352">
        <v>25</v>
      </c>
      <c r="G15" s="17">
        <f t="shared" si="1"/>
        <v>4.7039999999999997</v>
      </c>
      <c r="H15" s="17">
        <f t="shared" si="2"/>
        <v>208.13117499999998</v>
      </c>
      <c r="I15" s="17">
        <v>4.7039999999999997</v>
      </c>
      <c r="J15" s="17">
        <v>208.13117499999998</v>
      </c>
      <c r="K15" s="17">
        <v>9.6000000000000014</v>
      </c>
      <c r="L15" s="17">
        <v>424.75749999999999</v>
      </c>
      <c r="M15" s="346">
        <v>0.7</v>
      </c>
      <c r="N15" s="17">
        <v>6</v>
      </c>
      <c r="O15" s="346">
        <v>0.7</v>
      </c>
      <c r="P15" s="17">
        <v>6</v>
      </c>
    </row>
    <row r="16" spans="1:18">
      <c r="A16" s="10">
        <f t="shared" ca="1" si="0"/>
        <v>16</v>
      </c>
      <c r="B16" s="350" t="s">
        <v>2115</v>
      </c>
      <c r="C16" s="350" t="s">
        <v>2166</v>
      </c>
      <c r="D16" s="10" t="s">
        <v>50</v>
      </c>
      <c r="E16" s="350" t="s">
        <v>487</v>
      </c>
      <c r="F16" s="350">
        <v>22</v>
      </c>
      <c r="G16" s="17">
        <f t="shared" si="1"/>
        <v>4.7249999999999996</v>
      </c>
      <c r="H16" s="17">
        <f t="shared" si="2"/>
        <v>9.9936000000000007</v>
      </c>
      <c r="I16" s="17">
        <v>4.7249999999999996</v>
      </c>
      <c r="J16" s="17">
        <v>9.9936000000000007</v>
      </c>
      <c r="K16" s="17">
        <v>13.5</v>
      </c>
      <c r="L16" s="17">
        <v>66.624000000000009</v>
      </c>
      <c r="M16" s="346">
        <v>0.7</v>
      </c>
      <c r="N16" s="17">
        <v>3</v>
      </c>
      <c r="O16" s="346">
        <v>0.3</v>
      </c>
      <c r="P16" s="17">
        <v>3</v>
      </c>
    </row>
    <row r="17" spans="1:16">
      <c r="A17" s="10">
        <f t="shared" ca="1" si="0"/>
        <v>20</v>
      </c>
      <c r="B17" s="65" t="s">
        <v>202</v>
      </c>
      <c r="C17" s="350" t="s">
        <v>685</v>
      </c>
      <c r="D17" s="10" t="s">
        <v>36</v>
      </c>
      <c r="E17" s="351" t="s">
        <v>488</v>
      </c>
      <c r="F17" s="352">
        <v>42</v>
      </c>
      <c r="G17" s="17">
        <f t="shared" si="1"/>
        <v>28800</v>
      </c>
      <c r="H17" s="17">
        <f t="shared" si="2"/>
        <v>9000</v>
      </c>
      <c r="I17" s="17">
        <v>28800</v>
      </c>
      <c r="J17" s="17">
        <v>9000</v>
      </c>
      <c r="K17" s="17">
        <v>48000</v>
      </c>
      <c r="L17" s="17">
        <v>15000</v>
      </c>
      <c r="M17" s="346">
        <v>0.6</v>
      </c>
      <c r="N17" s="17">
        <v>5</v>
      </c>
      <c r="O17" s="346">
        <v>0.6</v>
      </c>
      <c r="P17" s="17">
        <v>5</v>
      </c>
    </row>
    <row r="18" spans="1:16">
      <c r="A18" s="10" t="str">
        <f t="shared" ca="1" si="0"/>
        <v/>
      </c>
      <c r="B18" s="65" t="s">
        <v>202</v>
      </c>
      <c r="C18" s="350" t="s">
        <v>686</v>
      </c>
      <c r="D18" s="10" t="s">
        <v>36</v>
      </c>
      <c r="E18" s="351" t="s">
        <v>489</v>
      </c>
      <c r="F18" s="352">
        <v>22</v>
      </c>
      <c r="G18" s="17">
        <f t="shared" si="1"/>
        <v>14400</v>
      </c>
      <c r="H18" s="17">
        <f t="shared" si="2"/>
        <v>4500</v>
      </c>
      <c r="I18" s="17">
        <v>14400</v>
      </c>
      <c r="J18" s="17">
        <v>4500</v>
      </c>
      <c r="K18" s="17">
        <v>48000</v>
      </c>
      <c r="L18" s="17">
        <v>15000</v>
      </c>
      <c r="M18" s="346">
        <v>0.6</v>
      </c>
      <c r="N18" s="17">
        <v>5</v>
      </c>
      <c r="O18" s="346">
        <v>0.6</v>
      </c>
      <c r="P18" s="17">
        <v>5</v>
      </c>
    </row>
    <row r="19" spans="1:16">
      <c r="A19" s="10" t="str">
        <f t="shared" ca="1" si="0"/>
        <v/>
      </c>
      <c r="B19" s="65" t="s">
        <v>202</v>
      </c>
      <c r="C19" s="350" t="s">
        <v>1955</v>
      </c>
      <c r="D19" s="10" t="s">
        <v>36</v>
      </c>
      <c r="E19" s="351" t="s">
        <v>1956</v>
      </c>
      <c r="F19" s="352">
        <v>41</v>
      </c>
      <c r="G19" s="17">
        <f t="shared" si="1"/>
        <v>3360</v>
      </c>
      <c r="H19" s="17">
        <f t="shared" si="2"/>
        <v>1050</v>
      </c>
      <c r="I19" s="17">
        <v>3360</v>
      </c>
      <c r="J19" s="17">
        <v>1050</v>
      </c>
      <c r="K19" s="17">
        <v>8000</v>
      </c>
      <c r="L19" s="17">
        <v>2500</v>
      </c>
      <c r="M19" s="346">
        <v>0.6</v>
      </c>
      <c r="N19" s="17">
        <v>5</v>
      </c>
      <c r="O19" s="346">
        <v>0.6</v>
      </c>
      <c r="P19" s="17">
        <v>5</v>
      </c>
    </row>
    <row r="20" spans="1:16">
      <c r="A20" s="10" t="str">
        <f t="shared" ca="1" si="0"/>
        <v/>
      </c>
      <c r="B20" s="65" t="s">
        <v>202</v>
      </c>
      <c r="C20" s="350" t="s">
        <v>687</v>
      </c>
      <c r="D20" s="10" t="s">
        <v>36</v>
      </c>
      <c r="E20" s="351" t="s">
        <v>490</v>
      </c>
      <c r="F20" s="352">
        <v>51</v>
      </c>
      <c r="G20" s="17">
        <f t="shared" si="1"/>
        <v>28800</v>
      </c>
      <c r="H20" s="17">
        <f t="shared" si="2"/>
        <v>27000</v>
      </c>
      <c r="I20" s="17">
        <v>28800</v>
      </c>
      <c r="J20" s="17">
        <v>27000</v>
      </c>
      <c r="K20" s="17">
        <v>48000</v>
      </c>
      <c r="L20" s="17">
        <v>45000</v>
      </c>
      <c r="M20" s="346">
        <v>0.6</v>
      </c>
      <c r="N20" s="17">
        <v>5</v>
      </c>
      <c r="O20" s="346">
        <v>0.6</v>
      </c>
      <c r="P20" s="17">
        <v>5</v>
      </c>
    </row>
    <row r="21" spans="1:16">
      <c r="A21" s="10">
        <f t="shared" ca="1" si="0"/>
        <v>21</v>
      </c>
      <c r="B21" s="350" t="s">
        <v>614</v>
      </c>
      <c r="C21" s="350" t="s">
        <v>688</v>
      </c>
      <c r="D21" s="10" t="s">
        <v>51</v>
      </c>
      <c r="E21" s="350" t="s">
        <v>656</v>
      </c>
      <c r="F21" s="350">
        <v>20</v>
      </c>
      <c r="G21" s="17">
        <f t="shared" si="1"/>
        <v>17.110799999999994</v>
      </c>
      <c r="H21" s="17">
        <f t="shared" si="2"/>
        <v>295.13777999999996</v>
      </c>
      <c r="I21" s="17">
        <v>17.110799999999994</v>
      </c>
      <c r="J21" s="17">
        <v>295.13777999999996</v>
      </c>
      <c r="K21" s="17">
        <v>34.919999999999995</v>
      </c>
      <c r="L21" s="17">
        <v>1405.4179999999999</v>
      </c>
      <c r="M21" s="346">
        <v>0.7</v>
      </c>
      <c r="N21" s="17">
        <v>3</v>
      </c>
      <c r="O21" s="346">
        <v>0.3</v>
      </c>
      <c r="P21" s="17">
        <v>3</v>
      </c>
    </row>
    <row r="22" spans="1:16">
      <c r="A22" s="10">
        <f t="shared" ca="1" si="0"/>
        <v>22</v>
      </c>
      <c r="B22" s="350" t="s">
        <v>2129</v>
      </c>
      <c r="C22" s="350" t="s">
        <v>2167</v>
      </c>
      <c r="D22" s="10" t="s">
        <v>51</v>
      </c>
      <c r="E22" s="350" t="s">
        <v>491</v>
      </c>
      <c r="F22" s="350">
        <v>22</v>
      </c>
      <c r="G22" s="17">
        <f t="shared" si="1"/>
        <v>9.0719999999999992</v>
      </c>
      <c r="H22" s="17">
        <f t="shared" si="2"/>
        <v>20.629349999999999</v>
      </c>
      <c r="I22" s="17">
        <v>9.0719999999999992</v>
      </c>
      <c r="J22" s="17">
        <v>20.629349999999999</v>
      </c>
      <c r="K22" s="17">
        <v>25.919999999999998</v>
      </c>
      <c r="L22" s="17">
        <v>137.529</v>
      </c>
      <c r="M22" s="346">
        <v>0.7</v>
      </c>
      <c r="N22" s="17">
        <v>3</v>
      </c>
      <c r="O22" s="346">
        <v>0.3</v>
      </c>
      <c r="P22" s="17">
        <v>2</v>
      </c>
    </row>
    <row r="23" spans="1:16">
      <c r="A23" s="10">
        <f t="shared" ca="1" si="0"/>
        <v>23</v>
      </c>
      <c r="B23" s="350" t="s">
        <v>2137</v>
      </c>
      <c r="C23" s="350" t="s">
        <v>2168</v>
      </c>
      <c r="D23" s="10" t="s">
        <v>51</v>
      </c>
      <c r="E23" s="350" t="s">
        <v>492</v>
      </c>
      <c r="F23" s="350">
        <v>29</v>
      </c>
      <c r="G23" s="17">
        <f t="shared" si="1"/>
        <v>20.563199999999998</v>
      </c>
      <c r="H23" s="17">
        <f t="shared" si="2"/>
        <v>46.754887499999995</v>
      </c>
      <c r="I23" s="17">
        <v>20.563199999999998</v>
      </c>
      <c r="J23" s="17">
        <v>46.754887499999995</v>
      </c>
      <c r="K23" s="17">
        <v>34.56</v>
      </c>
      <c r="L23" s="17">
        <v>183.35249999999999</v>
      </c>
      <c r="M23" s="346">
        <v>0.7</v>
      </c>
      <c r="N23" s="17">
        <v>3</v>
      </c>
      <c r="O23" s="346">
        <v>0.3</v>
      </c>
      <c r="P23" s="17">
        <v>2</v>
      </c>
    </row>
    <row r="24" spans="1:16">
      <c r="A24" s="10">
        <f t="shared" ca="1" si="0"/>
        <v>24</v>
      </c>
      <c r="B24" s="350" t="s">
        <v>2140</v>
      </c>
      <c r="C24" s="350" t="s">
        <v>2169</v>
      </c>
      <c r="D24" s="10" t="s">
        <v>51</v>
      </c>
      <c r="E24" s="350" t="s">
        <v>1957</v>
      </c>
      <c r="F24" s="350">
        <v>29</v>
      </c>
      <c r="G24" s="17">
        <f t="shared" si="1"/>
        <v>4.4981999999999998</v>
      </c>
      <c r="H24" s="17">
        <f t="shared" si="2"/>
        <v>7.1609737500000001</v>
      </c>
      <c r="I24" s="17">
        <v>4.4981999999999998</v>
      </c>
      <c r="J24" s="17">
        <v>7.1609737500000001</v>
      </c>
      <c r="K24" s="17">
        <v>7.5600000000000005</v>
      </c>
      <c r="L24" s="17">
        <v>28.082250000000002</v>
      </c>
      <c r="M24" s="346">
        <v>0.7</v>
      </c>
      <c r="N24" s="17">
        <v>3</v>
      </c>
      <c r="O24" s="346">
        <v>0.3</v>
      </c>
      <c r="P24" s="17">
        <v>2</v>
      </c>
    </row>
    <row r="25" spans="1:16">
      <c r="A25" s="10">
        <f t="shared" ca="1" si="0"/>
        <v>25</v>
      </c>
      <c r="B25" s="350" t="s">
        <v>2144</v>
      </c>
      <c r="C25" s="350" t="s">
        <v>2170</v>
      </c>
      <c r="D25" s="10" t="s">
        <v>51</v>
      </c>
      <c r="E25" s="350" t="s">
        <v>1958</v>
      </c>
      <c r="F25" s="350">
        <v>29</v>
      </c>
      <c r="G25" s="17">
        <f t="shared" si="1"/>
        <v>3.8555999999999995</v>
      </c>
      <c r="H25" s="17">
        <f t="shared" si="2"/>
        <v>33.670862999999997</v>
      </c>
      <c r="I25" s="17">
        <v>3.8555999999999995</v>
      </c>
      <c r="J25" s="17">
        <v>33.670862999999997</v>
      </c>
      <c r="K25" s="17">
        <v>6.4799999999999995</v>
      </c>
      <c r="L25" s="17">
        <v>132.04259999999999</v>
      </c>
      <c r="M25" s="346">
        <v>0.7</v>
      </c>
      <c r="N25" s="17">
        <v>3</v>
      </c>
      <c r="O25" s="346">
        <v>0.3</v>
      </c>
      <c r="P25" s="17">
        <v>2</v>
      </c>
    </row>
    <row r="26" spans="1:16">
      <c r="A26" s="10">
        <f t="shared" ca="1" si="0"/>
        <v>26</v>
      </c>
      <c r="B26" s="350" t="s">
        <v>2146</v>
      </c>
      <c r="C26" s="350" t="s">
        <v>2171</v>
      </c>
      <c r="D26" s="10" t="s">
        <v>51</v>
      </c>
      <c r="E26" s="350" t="s">
        <v>658</v>
      </c>
      <c r="F26" s="350">
        <v>29</v>
      </c>
      <c r="G26" s="17">
        <f t="shared" si="1"/>
        <v>26.774999999999999</v>
      </c>
      <c r="H26" s="17">
        <f t="shared" si="2"/>
        <v>20.981400000000001</v>
      </c>
      <c r="I26" s="17">
        <v>26.774999999999999</v>
      </c>
      <c r="J26" s="17">
        <v>20.981400000000001</v>
      </c>
      <c r="K26" s="17">
        <v>35</v>
      </c>
      <c r="L26" s="17">
        <v>49.368000000000002</v>
      </c>
      <c r="M26" s="346">
        <v>0.9</v>
      </c>
      <c r="N26" s="17">
        <v>2</v>
      </c>
      <c r="O26" s="346">
        <v>0.5</v>
      </c>
      <c r="P26" s="17">
        <v>3</v>
      </c>
    </row>
    <row r="27" spans="1:16">
      <c r="A27" s="10">
        <f t="shared" ca="1" si="0"/>
        <v>27</v>
      </c>
      <c r="B27" s="65" t="s">
        <v>274</v>
      </c>
      <c r="C27" s="350" t="s">
        <v>689</v>
      </c>
      <c r="D27" s="10" t="s">
        <v>47</v>
      </c>
      <c r="E27" s="353" t="s">
        <v>493</v>
      </c>
      <c r="F27" s="352">
        <v>2</v>
      </c>
      <c r="G27" s="17">
        <f t="shared" si="1"/>
        <v>137.60540491315774</v>
      </c>
      <c r="H27" s="17">
        <f t="shared" si="2"/>
        <v>0</v>
      </c>
      <c r="I27" s="17">
        <v>137.60540491315774</v>
      </c>
      <c r="J27" s="17">
        <v>0</v>
      </c>
      <c r="K27" s="17">
        <v>1528.9489434795305</v>
      </c>
      <c r="L27" s="17">
        <v>0</v>
      </c>
      <c r="M27" s="346">
        <v>0.3</v>
      </c>
      <c r="N27" s="17">
        <v>2</v>
      </c>
      <c r="O27" s="346">
        <v>0</v>
      </c>
      <c r="P27" s="17">
        <v>5</v>
      </c>
    </row>
    <row r="28" spans="1:16">
      <c r="A28" s="10">
        <f t="shared" ca="1" si="0"/>
        <v>29</v>
      </c>
      <c r="B28" s="65" t="s">
        <v>465</v>
      </c>
      <c r="C28" s="350" t="s">
        <v>690</v>
      </c>
      <c r="D28" s="10" t="s">
        <v>47</v>
      </c>
      <c r="E28" s="353" t="s">
        <v>494</v>
      </c>
      <c r="F28" s="352">
        <v>2</v>
      </c>
      <c r="G28" s="17">
        <f t="shared" si="1"/>
        <v>348.14963316815027</v>
      </c>
      <c r="H28" s="17">
        <f t="shared" si="2"/>
        <v>0</v>
      </c>
      <c r="I28" s="17">
        <v>348.14963316815027</v>
      </c>
      <c r="J28" s="17">
        <v>0</v>
      </c>
      <c r="K28" s="17">
        <v>3868.3292574238922</v>
      </c>
      <c r="L28" s="17">
        <v>0</v>
      </c>
      <c r="M28" s="346">
        <v>0.3</v>
      </c>
      <c r="N28" s="17">
        <v>2</v>
      </c>
      <c r="O28" s="346">
        <v>0</v>
      </c>
      <c r="P28" s="17">
        <v>5</v>
      </c>
    </row>
    <row r="29" spans="1:16">
      <c r="A29" s="10" t="str">
        <f t="shared" ca="1" si="0"/>
        <v/>
      </c>
      <c r="B29" s="65" t="s">
        <v>465</v>
      </c>
      <c r="C29" s="350" t="s">
        <v>1959</v>
      </c>
      <c r="D29" s="10" t="s">
        <v>47</v>
      </c>
      <c r="E29" s="353" t="s">
        <v>538</v>
      </c>
      <c r="F29" s="352">
        <v>2</v>
      </c>
      <c r="G29" s="17">
        <f t="shared" si="1"/>
        <v>464.19951089086703</v>
      </c>
      <c r="H29" s="17">
        <f t="shared" si="2"/>
        <v>0</v>
      </c>
      <c r="I29" s="17">
        <v>464.19951089086703</v>
      </c>
      <c r="J29" s="17">
        <v>0</v>
      </c>
      <c r="K29" s="17">
        <v>5157.7723432318562</v>
      </c>
      <c r="L29" s="17">
        <v>0</v>
      </c>
      <c r="M29" s="346">
        <v>0.3</v>
      </c>
      <c r="N29" s="17">
        <v>2</v>
      </c>
      <c r="O29" s="346">
        <v>0</v>
      </c>
      <c r="P29" s="17">
        <v>5</v>
      </c>
    </row>
    <row r="30" spans="1:16">
      <c r="A30" s="10">
        <f t="shared" ca="1" si="0"/>
        <v>31</v>
      </c>
      <c r="B30" s="65" t="s">
        <v>288</v>
      </c>
      <c r="C30" s="350" t="s">
        <v>691</v>
      </c>
      <c r="D30" s="10" t="s">
        <v>47</v>
      </c>
      <c r="E30" s="353" t="s">
        <v>496</v>
      </c>
      <c r="F30" s="352">
        <v>1</v>
      </c>
      <c r="G30" s="17">
        <f t="shared" si="1"/>
        <v>1149.8796011981274</v>
      </c>
      <c r="H30" s="17">
        <f t="shared" si="2"/>
        <v>0</v>
      </c>
      <c r="I30" s="17">
        <v>1149.8796011981274</v>
      </c>
      <c r="J30" s="17">
        <v>0</v>
      </c>
      <c r="K30" s="17">
        <v>3832.9320039937584</v>
      </c>
      <c r="L30" s="17">
        <v>0</v>
      </c>
      <c r="M30" s="346">
        <v>0.3</v>
      </c>
      <c r="N30" s="17">
        <v>2</v>
      </c>
      <c r="O30" s="346">
        <v>0</v>
      </c>
      <c r="P30" s="17">
        <v>5</v>
      </c>
    </row>
    <row r="31" spans="1:16">
      <c r="A31" s="10" t="str">
        <f t="shared" ca="1" si="0"/>
        <v/>
      </c>
      <c r="B31" s="65" t="s">
        <v>288</v>
      </c>
      <c r="C31" s="350" t="s">
        <v>1960</v>
      </c>
      <c r="D31" s="10" t="s">
        <v>47</v>
      </c>
      <c r="E31" s="353" t="s">
        <v>502</v>
      </c>
      <c r="F31" s="352">
        <v>2</v>
      </c>
      <c r="G31" s="17">
        <f t="shared" si="1"/>
        <v>344.96388035943818</v>
      </c>
      <c r="H31" s="17">
        <f t="shared" si="2"/>
        <v>0</v>
      </c>
      <c r="I31" s="17">
        <v>344.96388035943818</v>
      </c>
      <c r="J31" s="17">
        <v>0</v>
      </c>
      <c r="K31" s="17">
        <v>3832.9320039937584</v>
      </c>
      <c r="L31" s="17">
        <v>0</v>
      </c>
      <c r="M31" s="346">
        <v>0.3</v>
      </c>
      <c r="N31" s="17">
        <v>2</v>
      </c>
      <c r="O31" s="346">
        <v>0</v>
      </c>
      <c r="P31" s="17">
        <v>5</v>
      </c>
    </row>
    <row r="32" spans="1:16">
      <c r="A32" s="10">
        <f t="shared" ca="1" si="0"/>
        <v>32</v>
      </c>
      <c r="B32" s="65" t="s">
        <v>266</v>
      </c>
      <c r="C32" s="350" t="s">
        <v>692</v>
      </c>
      <c r="D32" s="10" t="s">
        <v>46</v>
      </c>
      <c r="E32" s="353" t="s">
        <v>497</v>
      </c>
      <c r="F32" s="352">
        <v>1</v>
      </c>
      <c r="G32" s="17">
        <f t="shared" si="1"/>
        <v>21.456132167991541</v>
      </c>
      <c r="H32" s="17">
        <f t="shared" si="2"/>
        <v>0</v>
      </c>
      <c r="I32" s="17">
        <v>21.456132167991541</v>
      </c>
      <c r="J32" s="17">
        <v>0</v>
      </c>
      <c r="K32" s="17">
        <v>71.520440559971803</v>
      </c>
      <c r="L32" s="17">
        <v>0</v>
      </c>
      <c r="M32" s="346">
        <v>0.3</v>
      </c>
      <c r="N32" s="17">
        <v>2</v>
      </c>
      <c r="O32" s="346">
        <v>0</v>
      </c>
      <c r="P32" s="17">
        <v>5</v>
      </c>
    </row>
    <row r="33" spans="1:16">
      <c r="A33" s="10">
        <f t="shared" ca="1" si="0"/>
        <v>36</v>
      </c>
      <c r="B33" s="65" t="s">
        <v>211</v>
      </c>
      <c r="C33" s="350" t="s">
        <v>1961</v>
      </c>
      <c r="D33" s="10" t="s">
        <v>47</v>
      </c>
      <c r="E33" s="353" t="s">
        <v>508</v>
      </c>
      <c r="F33" s="352">
        <v>1</v>
      </c>
      <c r="G33" s="17">
        <f t="shared" si="1"/>
        <v>854.49019443053442</v>
      </c>
      <c r="H33" s="17">
        <f t="shared" si="2"/>
        <v>0</v>
      </c>
      <c r="I33" s="17">
        <v>854.49019443053442</v>
      </c>
      <c r="J33" s="17">
        <v>0</v>
      </c>
      <c r="K33" s="17">
        <v>2848.3006481017815</v>
      </c>
      <c r="L33" s="17">
        <v>0</v>
      </c>
      <c r="M33" s="346">
        <v>0.3</v>
      </c>
      <c r="N33" s="17">
        <v>2</v>
      </c>
      <c r="O33" s="346">
        <v>0</v>
      </c>
      <c r="P33" s="17">
        <v>5</v>
      </c>
    </row>
    <row r="34" spans="1:16">
      <c r="A34" s="10" t="str">
        <f t="shared" ca="1" si="0"/>
        <v/>
      </c>
      <c r="B34" s="65" t="s">
        <v>211</v>
      </c>
      <c r="C34" s="350" t="s">
        <v>2172</v>
      </c>
      <c r="D34" s="10" t="s">
        <v>47</v>
      </c>
      <c r="E34" s="353" t="s">
        <v>2173</v>
      </c>
      <c r="F34" s="352">
        <v>1</v>
      </c>
      <c r="G34" s="17">
        <f t="shared" si="1"/>
        <v>854.49019443053442</v>
      </c>
      <c r="H34" s="17">
        <f t="shared" si="2"/>
        <v>0</v>
      </c>
      <c r="I34" s="17">
        <v>854.49019443053442</v>
      </c>
      <c r="J34" s="17">
        <v>0</v>
      </c>
      <c r="K34" s="17">
        <v>2848.3006481017815</v>
      </c>
      <c r="L34" s="17">
        <v>0</v>
      </c>
      <c r="M34" s="346">
        <v>0.3</v>
      </c>
      <c r="N34" s="17">
        <v>2</v>
      </c>
      <c r="O34" s="346">
        <v>0</v>
      </c>
      <c r="P34" s="17">
        <v>5</v>
      </c>
    </row>
    <row r="35" spans="1:16">
      <c r="A35" s="10" t="str">
        <f t="shared" ca="1" si="0"/>
        <v/>
      </c>
      <c r="B35" s="65" t="s">
        <v>211</v>
      </c>
      <c r="C35" s="350" t="s">
        <v>693</v>
      </c>
      <c r="D35" s="10" t="s">
        <v>47</v>
      </c>
      <c r="E35" s="353" t="s">
        <v>496</v>
      </c>
      <c r="F35" s="352">
        <v>1</v>
      </c>
      <c r="G35" s="17">
        <f t="shared" si="1"/>
        <v>1495.3578402534351</v>
      </c>
      <c r="H35" s="17">
        <f t="shared" si="2"/>
        <v>0</v>
      </c>
      <c r="I35" s="17">
        <v>1495.3578402534351</v>
      </c>
      <c r="J35" s="17">
        <v>0</v>
      </c>
      <c r="K35" s="17">
        <v>4984.526134178117</v>
      </c>
      <c r="L35" s="17">
        <v>0</v>
      </c>
      <c r="M35" s="346">
        <v>0.3</v>
      </c>
      <c r="N35" s="17">
        <v>2</v>
      </c>
      <c r="O35" s="346">
        <v>0</v>
      </c>
      <c r="P35" s="17">
        <v>5</v>
      </c>
    </row>
    <row r="36" spans="1:16">
      <c r="A36" s="10" t="str">
        <f t="shared" ca="1" si="0"/>
        <v/>
      </c>
      <c r="B36" s="65" t="s">
        <v>211</v>
      </c>
      <c r="C36" s="350" t="s">
        <v>694</v>
      </c>
      <c r="D36" s="10" t="s">
        <v>47</v>
      </c>
      <c r="E36" s="353" t="s">
        <v>498</v>
      </c>
      <c r="F36" s="352">
        <v>1</v>
      </c>
      <c r="G36" s="17">
        <f t="shared" si="1"/>
        <v>427.24509721526721</v>
      </c>
      <c r="H36" s="17">
        <f t="shared" si="2"/>
        <v>0</v>
      </c>
      <c r="I36" s="17">
        <v>427.24509721526721</v>
      </c>
      <c r="J36" s="17">
        <v>0</v>
      </c>
      <c r="K36" s="17">
        <v>1424.1503240508907</v>
      </c>
      <c r="L36" s="17">
        <v>0</v>
      </c>
      <c r="M36" s="346">
        <v>0.3</v>
      </c>
      <c r="N36" s="17">
        <v>2</v>
      </c>
      <c r="O36" s="346">
        <v>0</v>
      </c>
      <c r="P36" s="17">
        <v>5</v>
      </c>
    </row>
    <row r="37" spans="1:16">
      <c r="A37" s="10">
        <f t="shared" ca="1" si="0"/>
        <v>48</v>
      </c>
      <c r="B37" s="65" t="s">
        <v>244</v>
      </c>
      <c r="C37" s="350" t="s">
        <v>695</v>
      </c>
      <c r="D37" s="10" t="s">
        <v>47</v>
      </c>
      <c r="E37" s="353" t="s">
        <v>496</v>
      </c>
      <c r="F37" s="352">
        <v>1</v>
      </c>
      <c r="G37" s="17">
        <f t="shared" si="1"/>
        <v>1386.0327822388947</v>
      </c>
      <c r="H37" s="17">
        <f t="shared" si="2"/>
        <v>0</v>
      </c>
      <c r="I37" s="17">
        <v>1386.0327822388947</v>
      </c>
      <c r="J37" s="17">
        <v>0</v>
      </c>
      <c r="K37" s="17">
        <v>4620.1092741296488</v>
      </c>
      <c r="L37" s="17">
        <v>0</v>
      </c>
      <c r="M37" s="346">
        <v>0.3</v>
      </c>
      <c r="N37" s="17">
        <v>2</v>
      </c>
      <c r="O37" s="346">
        <v>0</v>
      </c>
      <c r="P37" s="17">
        <v>5</v>
      </c>
    </row>
    <row r="38" spans="1:16">
      <c r="A38" s="10" t="str">
        <f t="shared" ca="1" si="0"/>
        <v/>
      </c>
      <c r="B38" s="65" t="s">
        <v>244</v>
      </c>
      <c r="C38" s="350" t="s">
        <v>696</v>
      </c>
      <c r="D38" s="10" t="s">
        <v>47</v>
      </c>
      <c r="E38" s="353" t="s">
        <v>500</v>
      </c>
      <c r="F38" s="352">
        <v>1</v>
      </c>
      <c r="G38" s="17">
        <f t="shared" si="1"/>
        <v>815.31340131699676</v>
      </c>
      <c r="H38" s="17">
        <f t="shared" si="2"/>
        <v>0</v>
      </c>
      <c r="I38" s="17">
        <v>815.31340131699676</v>
      </c>
      <c r="J38" s="17">
        <v>0</v>
      </c>
      <c r="K38" s="17">
        <v>2717.7113377233227</v>
      </c>
      <c r="L38" s="17">
        <v>0</v>
      </c>
      <c r="M38" s="346">
        <v>0.3</v>
      </c>
      <c r="N38" s="17">
        <v>2</v>
      </c>
      <c r="O38" s="346">
        <v>0</v>
      </c>
      <c r="P38" s="17">
        <v>5</v>
      </c>
    </row>
    <row r="39" spans="1:16">
      <c r="A39" s="10" t="str">
        <f t="shared" ca="1" si="0"/>
        <v/>
      </c>
      <c r="B39" s="65" t="s">
        <v>244</v>
      </c>
      <c r="C39" s="350" t="s">
        <v>1962</v>
      </c>
      <c r="D39" s="10" t="s">
        <v>47</v>
      </c>
      <c r="E39" s="353" t="s">
        <v>1963</v>
      </c>
      <c r="F39" s="352">
        <v>2</v>
      </c>
      <c r="G39" s="17">
        <f t="shared" si="1"/>
        <v>244.59402039509902</v>
      </c>
      <c r="H39" s="17">
        <f t="shared" si="2"/>
        <v>0</v>
      </c>
      <c r="I39" s="17">
        <v>244.59402039509902</v>
      </c>
      <c r="J39" s="17">
        <v>0</v>
      </c>
      <c r="K39" s="17">
        <v>2717.7113377233227</v>
      </c>
      <c r="L39" s="17">
        <v>0</v>
      </c>
      <c r="M39" s="346">
        <v>0.3</v>
      </c>
      <c r="N39" s="17">
        <v>2</v>
      </c>
      <c r="O39" s="346">
        <v>0</v>
      </c>
      <c r="P39" s="17">
        <v>5</v>
      </c>
    </row>
    <row r="40" spans="1:16">
      <c r="A40" s="10" t="str">
        <f t="shared" ca="1" si="0"/>
        <v/>
      </c>
      <c r="B40" s="65" t="s">
        <v>244</v>
      </c>
      <c r="C40" s="350" t="s">
        <v>1964</v>
      </c>
      <c r="D40" s="10" t="s">
        <v>47</v>
      </c>
      <c r="E40" s="353" t="s">
        <v>537</v>
      </c>
      <c r="F40" s="352">
        <v>2</v>
      </c>
      <c r="G40" s="17">
        <f t="shared" si="1"/>
        <v>244.59402039509902</v>
      </c>
      <c r="H40" s="17">
        <f t="shared" si="2"/>
        <v>0</v>
      </c>
      <c r="I40" s="17">
        <v>244.59402039509902</v>
      </c>
      <c r="J40" s="17">
        <v>0</v>
      </c>
      <c r="K40" s="17">
        <v>2717.7113377233227</v>
      </c>
      <c r="L40" s="17">
        <v>0</v>
      </c>
      <c r="M40" s="346">
        <v>0.3</v>
      </c>
      <c r="N40" s="17">
        <v>2</v>
      </c>
      <c r="O40" s="346">
        <v>0</v>
      </c>
      <c r="P40" s="17">
        <v>5</v>
      </c>
    </row>
    <row r="41" spans="1:16">
      <c r="A41" s="10" t="str">
        <f t="shared" ca="1" si="0"/>
        <v/>
      </c>
      <c r="B41" s="65" t="s">
        <v>244</v>
      </c>
      <c r="C41" s="350" t="s">
        <v>697</v>
      </c>
      <c r="D41" s="10" t="s">
        <v>47</v>
      </c>
      <c r="E41" s="353" t="s">
        <v>494</v>
      </c>
      <c r="F41" s="352">
        <v>1</v>
      </c>
      <c r="G41" s="17">
        <f t="shared" si="1"/>
        <v>4891.8804079019801</v>
      </c>
      <c r="H41" s="17">
        <f t="shared" si="2"/>
        <v>0</v>
      </c>
      <c r="I41" s="17">
        <v>4891.8804079019801</v>
      </c>
      <c r="J41" s="17">
        <v>0</v>
      </c>
      <c r="K41" s="17">
        <v>16306.268026339934</v>
      </c>
      <c r="L41" s="17">
        <v>0</v>
      </c>
      <c r="M41" s="346">
        <v>0.3</v>
      </c>
      <c r="N41" s="17">
        <v>2</v>
      </c>
      <c r="O41" s="346">
        <v>0</v>
      </c>
      <c r="P41" s="17">
        <v>5</v>
      </c>
    </row>
    <row r="42" spans="1:16">
      <c r="A42" s="10" t="str">
        <f t="shared" ca="1" si="0"/>
        <v/>
      </c>
      <c r="B42" s="65" t="s">
        <v>244</v>
      </c>
      <c r="C42" s="350" t="s">
        <v>1965</v>
      </c>
      <c r="D42" s="10" t="s">
        <v>47</v>
      </c>
      <c r="E42" s="353" t="s">
        <v>1966</v>
      </c>
      <c r="F42" s="352">
        <v>1</v>
      </c>
      <c r="G42" s="17">
        <f t="shared" si="1"/>
        <v>4891.8804079019801</v>
      </c>
      <c r="H42" s="17">
        <f t="shared" si="2"/>
        <v>0</v>
      </c>
      <c r="I42" s="17">
        <v>4891.8804079019801</v>
      </c>
      <c r="J42" s="17">
        <v>0</v>
      </c>
      <c r="K42" s="17">
        <v>16306.268026339934</v>
      </c>
      <c r="L42" s="17">
        <v>0</v>
      </c>
      <c r="M42" s="346">
        <v>0.3</v>
      </c>
      <c r="N42" s="17">
        <v>2</v>
      </c>
      <c r="O42" s="346">
        <v>0</v>
      </c>
      <c r="P42" s="17">
        <v>5</v>
      </c>
    </row>
    <row r="43" spans="1:16">
      <c r="A43" s="10" t="str">
        <f t="shared" ca="1" si="0"/>
        <v/>
      </c>
      <c r="B43" s="65" t="s">
        <v>244</v>
      </c>
      <c r="C43" s="350" t="s">
        <v>698</v>
      </c>
      <c r="D43" s="10" t="s">
        <v>47</v>
      </c>
      <c r="E43" s="353" t="s">
        <v>495</v>
      </c>
      <c r="F43" s="352">
        <v>5</v>
      </c>
      <c r="G43" s="17">
        <f t="shared" si="1"/>
        <v>5707.1938092189766</v>
      </c>
      <c r="H43" s="17">
        <f t="shared" si="2"/>
        <v>0</v>
      </c>
      <c r="I43" s="17">
        <v>5707.1938092189766</v>
      </c>
      <c r="J43" s="17">
        <v>0</v>
      </c>
      <c r="K43" s="17">
        <v>19023.979364063256</v>
      </c>
      <c r="L43" s="17">
        <v>0</v>
      </c>
      <c r="M43" s="346">
        <v>0.3</v>
      </c>
      <c r="N43" s="17">
        <v>2</v>
      </c>
      <c r="O43" s="346">
        <v>0</v>
      </c>
      <c r="P43" s="17">
        <v>5</v>
      </c>
    </row>
    <row r="44" spans="1:16">
      <c r="A44" s="10" t="str">
        <f t="shared" ca="1" si="0"/>
        <v/>
      </c>
      <c r="B44" s="65" t="s">
        <v>244</v>
      </c>
      <c r="C44" s="350" t="s">
        <v>699</v>
      </c>
      <c r="D44" s="10" t="s">
        <v>47</v>
      </c>
      <c r="E44" s="353" t="s">
        <v>502</v>
      </c>
      <c r="F44" s="352">
        <v>2</v>
      </c>
      <c r="G44" s="17">
        <f t="shared" si="1"/>
        <v>366.89103059264852</v>
      </c>
      <c r="H44" s="17">
        <f t="shared" si="2"/>
        <v>0</v>
      </c>
      <c r="I44" s="17">
        <v>366.89103059264852</v>
      </c>
      <c r="J44" s="17">
        <v>0</v>
      </c>
      <c r="K44" s="17">
        <v>4076.5670065849836</v>
      </c>
      <c r="L44" s="17">
        <v>0</v>
      </c>
      <c r="M44" s="346">
        <v>0.3</v>
      </c>
      <c r="N44" s="17">
        <v>2</v>
      </c>
      <c r="O44" s="346">
        <v>0</v>
      </c>
      <c r="P44" s="17">
        <v>5</v>
      </c>
    </row>
    <row r="45" spans="1:16">
      <c r="A45" s="10" t="str">
        <f t="shared" ca="1" si="0"/>
        <v/>
      </c>
      <c r="B45" s="65" t="s">
        <v>244</v>
      </c>
      <c r="C45" s="350" t="s">
        <v>1967</v>
      </c>
      <c r="D45" s="10" t="s">
        <v>47</v>
      </c>
      <c r="E45" s="353" t="s">
        <v>564</v>
      </c>
      <c r="F45" s="352">
        <v>8</v>
      </c>
      <c r="G45" s="17">
        <f t="shared" si="1"/>
        <v>815.31340131699676</v>
      </c>
      <c r="H45" s="17">
        <f t="shared" si="2"/>
        <v>0</v>
      </c>
      <c r="I45" s="17">
        <v>815.31340131699676</v>
      </c>
      <c r="J45" s="17">
        <v>0</v>
      </c>
      <c r="K45" s="17">
        <v>2717.7113377233227</v>
      </c>
      <c r="L45" s="17">
        <v>0</v>
      </c>
      <c r="M45" s="346">
        <v>0.3</v>
      </c>
      <c r="N45" s="17">
        <v>2</v>
      </c>
      <c r="O45" s="346">
        <v>0</v>
      </c>
      <c r="P45" s="17">
        <v>5</v>
      </c>
    </row>
    <row r="46" spans="1:16">
      <c r="A46" s="10" t="str">
        <f t="shared" ca="1" si="0"/>
        <v/>
      </c>
      <c r="B46" s="65" t="s">
        <v>244</v>
      </c>
      <c r="C46" s="350" t="s">
        <v>700</v>
      </c>
      <c r="D46" s="10" t="s">
        <v>47</v>
      </c>
      <c r="E46" s="353" t="s">
        <v>504</v>
      </c>
      <c r="F46" s="352">
        <v>1</v>
      </c>
      <c r="G46" s="17">
        <f t="shared" si="1"/>
        <v>815.31340131699676</v>
      </c>
      <c r="H46" s="17">
        <f t="shared" si="2"/>
        <v>0</v>
      </c>
      <c r="I46" s="17">
        <v>815.31340131699676</v>
      </c>
      <c r="J46" s="17">
        <v>0</v>
      </c>
      <c r="K46" s="17">
        <v>2717.7113377233227</v>
      </c>
      <c r="L46" s="17">
        <v>0</v>
      </c>
      <c r="M46" s="346">
        <v>0.3</v>
      </c>
      <c r="N46" s="17">
        <v>2</v>
      </c>
      <c r="O46" s="346">
        <v>0</v>
      </c>
      <c r="P46" s="17">
        <v>5</v>
      </c>
    </row>
    <row r="47" spans="1:16">
      <c r="A47" s="10" t="str">
        <f t="shared" ca="1" si="0"/>
        <v/>
      </c>
      <c r="B47" s="65" t="s">
        <v>244</v>
      </c>
      <c r="C47" s="350" t="s">
        <v>2174</v>
      </c>
      <c r="D47" s="10" t="s">
        <v>47</v>
      </c>
      <c r="E47" s="353" t="s">
        <v>2011</v>
      </c>
      <c r="F47" s="352">
        <v>1</v>
      </c>
      <c r="G47" s="17">
        <f t="shared" si="1"/>
        <v>5707.1938092189766</v>
      </c>
      <c r="H47" s="17">
        <f t="shared" si="2"/>
        <v>0</v>
      </c>
      <c r="I47" s="17">
        <v>5707.1938092189766</v>
      </c>
      <c r="J47" s="17">
        <v>0</v>
      </c>
      <c r="K47" s="17">
        <v>19023.979364063256</v>
      </c>
      <c r="L47" s="17">
        <v>0</v>
      </c>
      <c r="M47" s="346">
        <v>0.3</v>
      </c>
      <c r="N47" s="17">
        <v>2</v>
      </c>
      <c r="O47" s="346">
        <v>0</v>
      </c>
      <c r="P47" s="17">
        <v>5</v>
      </c>
    </row>
    <row r="48" spans="1:16">
      <c r="A48" s="10" t="str">
        <f t="shared" ca="1" si="0"/>
        <v/>
      </c>
      <c r="B48" s="65" t="s">
        <v>244</v>
      </c>
      <c r="C48" s="350" t="s">
        <v>2175</v>
      </c>
      <c r="D48" s="10" t="s">
        <v>47</v>
      </c>
      <c r="E48" s="353" t="s">
        <v>2176</v>
      </c>
      <c r="F48" s="352">
        <v>2</v>
      </c>
      <c r="G48" s="17">
        <f t="shared" si="1"/>
        <v>733.78206118529704</v>
      </c>
      <c r="H48" s="17">
        <f t="shared" si="2"/>
        <v>0</v>
      </c>
      <c r="I48" s="17">
        <v>733.78206118529704</v>
      </c>
      <c r="J48" s="17">
        <v>0</v>
      </c>
      <c r="K48" s="17">
        <v>8153.1340131699671</v>
      </c>
      <c r="L48" s="17">
        <v>0</v>
      </c>
      <c r="M48" s="346">
        <v>0.3</v>
      </c>
      <c r="N48" s="17">
        <v>2</v>
      </c>
      <c r="O48" s="346">
        <v>0</v>
      </c>
      <c r="P48" s="17">
        <v>5</v>
      </c>
    </row>
    <row r="49" spans="1:16">
      <c r="A49" s="10">
        <f t="shared" ca="1" si="0"/>
        <v>51</v>
      </c>
      <c r="B49" s="65" t="s">
        <v>260</v>
      </c>
      <c r="C49" s="350" t="s">
        <v>1968</v>
      </c>
      <c r="D49" s="10" t="s">
        <v>47</v>
      </c>
      <c r="E49" s="353" t="s">
        <v>541</v>
      </c>
      <c r="F49" s="352">
        <v>5</v>
      </c>
      <c r="G49" s="17">
        <f t="shared" si="1"/>
        <v>113.89119788623709</v>
      </c>
      <c r="H49" s="17">
        <f t="shared" si="2"/>
        <v>0</v>
      </c>
      <c r="I49" s="17">
        <v>113.89119788623709</v>
      </c>
      <c r="J49" s="17">
        <v>0</v>
      </c>
      <c r="K49" s="17">
        <v>379.63732628745697</v>
      </c>
      <c r="L49" s="17">
        <v>0</v>
      </c>
      <c r="M49" s="346">
        <v>0.3</v>
      </c>
      <c r="N49" s="17">
        <v>2</v>
      </c>
      <c r="O49" s="346">
        <v>0</v>
      </c>
      <c r="P49" s="17">
        <v>5</v>
      </c>
    </row>
    <row r="50" spans="1:16">
      <c r="A50" s="10" t="str">
        <f t="shared" ca="1" si="0"/>
        <v/>
      </c>
      <c r="B50" s="65" t="s">
        <v>260</v>
      </c>
      <c r="C50" s="350" t="s">
        <v>1969</v>
      </c>
      <c r="D50" s="10" t="s">
        <v>47</v>
      </c>
      <c r="E50" s="353" t="s">
        <v>557</v>
      </c>
      <c r="F50" s="352">
        <v>2</v>
      </c>
      <c r="G50" s="17">
        <f t="shared" si="1"/>
        <v>85.41839841467781</v>
      </c>
      <c r="H50" s="17">
        <f t="shared" si="2"/>
        <v>0</v>
      </c>
      <c r="I50" s="17">
        <v>85.41839841467781</v>
      </c>
      <c r="J50" s="17">
        <v>0</v>
      </c>
      <c r="K50" s="17">
        <v>949.09331571864243</v>
      </c>
      <c r="L50" s="17">
        <v>0</v>
      </c>
      <c r="M50" s="346">
        <v>0.3</v>
      </c>
      <c r="N50" s="17">
        <v>2</v>
      </c>
      <c r="O50" s="346">
        <v>0</v>
      </c>
      <c r="P50" s="17">
        <v>5</v>
      </c>
    </row>
    <row r="51" spans="1:16">
      <c r="A51" s="10" t="str">
        <f t="shared" ca="1" si="0"/>
        <v/>
      </c>
      <c r="B51" s="65" t="s">
        <v>260</v>
      </c>
      <c r="C51" s="350" t="s">
        <v>1970</v>
      </c>
      <c r="D51" s="10" t="s">
        <v>47</v>
      </c>
      <c r="E51" s="353" t="s">
        <v>1963</v>
      </c>
      <c r="F51" s="352">
        <v>2</v>
      </c>
      <c r="G51" s="17">
        <f t="shared" si="1"/>
        <v>34.167359365871128</v>
      </c>
      <c r="H51" s="17">
        <f t="shared" si="2"/>
        <v>0</v>
      </c>
      <c r="I51" s="17">
        <v>34.167359365871128</v>
      </c>
      <c r="J51" s="17">
        <v>0</v>
      </c>
      <c r="K51" s="17">
        <v>379.63732628745697</v>
      </c>
      <c r="L51" s="17">
        <v>0</v>
      </c>
      <c r="M51" s="346">
        <v>0.3</v>
      </c>
      <c r="N51" s="17">
        <v>2</v>
      </c>
      <c r="O51" s="346">
        <v>0</v>
      </c>
      <c r="P51" s="17">
        <v>5</v>
      </c>
    </row>
    <row r="52" spans="1:16">
      <c r="A52" s="10">
        <f t="shared" ca="1" si="0"/>
        <v>56</v>
      </c>
      <c r="B52" s="65" t="s">
        <v>218</v>
      </c>
      <c r="C52" s="350" t="s">
        <v>701</v>
      </c>
      <c r="D52" s="10" t="s">
        <v>47</v>
      </c>
      <c r="E52" s="353" t="s">
        <v>508</v>
      </c>
      <c r="F52" s="352">
        <v>1</v>
      </c>
      <c r="G52" s="17">
        <f t="shared" si="1"/>
        <v>35.378820190274595</v>
      </c>
      <c r="H52" s="17">
        <f t="shared" si="2"/>
        <v>0</v>
      </c>
      <c r="I52" s="17">
        <v>35.378820190274595</v>
      </c>
      <c r="J52" s="17">
        <v>0</v>
      </c>
      <c r="K52" s="17">
        <v>117.92940063424865</v>
      </c>
      <c r="L52" s="17">
        <v>0</v>
      </c>
      <c r="M52" s="346">
        <v>0.3</v>
      </c>
      <c r="N52" s="17">
        <v>2</v>
      </c>
      <c r="O52" s="346">
        <v>0</v>
      </c>
      <c r="P52" s="17">
        <v>5</v>
      </c>
    </row>
    <row r="53" spans="1:16">
      <c r="A53" s="10" t="str">
        <f t="shared" ca="1" si="0"/>
        <v/>
      </c>
      <c r="B53" s="65" t="s">
        <v>218</v>
      </c>
      <c r="C53" s="350" t="s">
        <v>2177</v>
      </c>
      <c r="D53" s="10" t="s">
        <v>47</v>
      </c>
      <c r="E53" s="353" t="s">
        <v>2178</v>
      </c>
      <c r="F53" s="352">
        <v>1</v>
      </c>
      <c r="G53" s="17">
        <f t="shared" si="1"/>
        <v>141.51528076109838</v>
      </c>
      <c r="H53" s="17">
        <f t="shared" si="2"/>
        <v>0</v>
      </c>
      <c r="I53" s="17">
        <v>141.51528076109838</v>
      </c>
      <c r="J53" s="17">
        <v>0</v>
      </c>
      <c r="K53" s="17">
        <v>471.7176025369946</v>
      </c>
      <c r="L53" s="17">
        <v>0</v>
      </c>
      <c r="M53" s="346">
        <v>0.3</v>
      </c>
      <c r="N53" s="17">
        <v>2</v>
      </c>
      <c r="O53" s="346">
        <v>0</v>
      </c>
      <c r="P53" s="17">
        <v>5</v>
      </c>
    </row>
    <row r="54" spans="1:16">
      <c r="A54" s="10" t="str">
        <f t="shared" ca="1" si="0"/>
        <v/>
      </c>
      <c r="B54" s="65" t="s">
        <v>218</v>
      </c>
      <c r="C54" s="350" t="s">
        <v>1971</v>
      </c>
      <c r="D54" s="10" t="s">
        <v>47</v>
      </c>
      <c r="E54" s="353" t="s">
        <v>513</v>
      </c>
      <c r="F54" s="352">
        <v>3</v>
      </c>
      <c r="G54" s="17">
        <f t="shared" si="1"/>
        <v>35.378820190274595</v>
      </c>
      <c r="H54" s="17">
        <f t="shared" si="2"/>
        <v>0</v>
      </c>
      <c r="I54" s="17">
        <v>35.378820190274595</v>
      </c>
      <c r="J54" s="17">
        <v>0</v>
      </c>
      <c r="K54" s="17">
        <v>117.92940063424865</v>
      </c>
      <c r="L54" s="17">
        <v>0</v>
      </c>
      <c r="M54" s="346">
        <v>0.3</v>
      </c>
      <c r="N54" s="17">
        <v>2</v>
      </c>
      <c r="O54" s="346">
        <v>0</v>
      </c>
      <c r="P54" s="17">
        <v>5</v>
      </c>
    </row>
    <row r="55" spans="1:16">
      <c r="A55" s="10" t="str">
        <f t="shared" ca="1" si="0"/>
        <v/>
      </c>
      <c r="B55" s="65" t="s">
        <v>218</v>
      </c>
      <c r="C55" s="350" t="s">
        <v>702</v>
      </c>
      <c r="D55" s="10" t="s">
        <v>47</v>
      </c>
      <c r="E55" s="353" t="s">
        <v>509</v>
      </c>
      <c r="F55" s="352">
        <v>1</v>
      </c>
      <c r="G55" s="17">
        <f t="shared" si="1"/>
        <v>88.447050475686481</v>
      </c>
      <c r="H55" s="17">
        <f t="shared" si="2"/>
        <v>0</v>
      </c>
      <c r="I55" s="17">
        <v>88.447050475686481</v>
      </c>
      <c r="J55" s="17">
        <v>0</v>
      </c>
      <c r="K55" s="17">
        <v>294.82350158562161</v>
      </c>
      <c r="L55" s="17">
        <v>0</v>
      </c>
      <c r="M55" s="346">
        <v>0.3</v>
      </c>
      <c r="N55" s="17">
        <v>2</v>
      </c>
      <c r="O55" s="346">
        <v>0</v>
      </c>
      <c r="P55" s="17">
        <v>5</v>
      </c>
    </row>
    <row r="56" spans="1:16">
      <c r="A56" s="10" t="str">
        <f t="shared" ca="1" si="0"/>
        <v/>
      </c>
      <c r="B56" s="65" t="s">
        <v>218</v>
      </c>
      <c r="C56" s="350" t="s">
        <v>703</v>
      </c>
      <c r="D56" s="10" t="s">
        <v>47</v>
      </c>
      <c r="E56" s="353" t="s">
        <v>496</v>
      </c>
      <c r="F56" s="352">
        <v>1</v>
      </c>
      <c r="G56" s="17">
        <f t="shared" si="1"/>
        <v>88.447050475686481</v>
      </c>
      <c r="H56" s="17">
        <f t="shared" si="2"/>
        <v>0</v>
      </c>
      <c r="I56" s="17">
        <v>88.447050475686481</v>
      </c>
      <c r="J56" s="17">
        <v>0</v>
      </c>
      <c r="K56" s="17">
        <v>294.82350158562161</v>
      </c>
      <c r="L56" s="17">
        <v>0</v>
      </c>
      <c r="M56" s="346">
        <v>0.3</v>
      </c>
      <c r="N56" s="17">
        <v>2</v>
      </c>
      <c r="O56" s="346">
        <v>0</v>
      </c>
      <c r="P56" s="17">
        <v>5</v>
      </c>
    </row>
    <row r="57" spans="1:16">
      <c r="A57" s="10">
        <f t="shared" ca="1" si="0"/>
        <v>57</v>
      </c>
      <c r="B57" s="65" t="s">
        <v>2133</v>
      </c>
      <c r="C57" s="350" t="s">
        <v>2179</v>
      </c>
      <c r="D57" s="10" t="s">
        <v>47</v>
      </c>
      <c r="E57" s="353" t="s">
        <v>2173</v>
      </c>
      <c r="F57" s="352">
        <v>1</v>
      </c>
      <c r="G57" s="17">
        <f t="shared" si="1"/>
        <v>361.8</v>
      </c>
      <c r="H57" s="17">
        <f t="shared" si="2"/>
        <v>0</v>
      </c>
      <c r="I57" s="17">
        <v>361.8</v>
      </c>
      <c r="J57" s="17">
        <v>0</v>
      </c>
      <c r="K57" s="17">
        <v>1206</v>
      </c>
      <c r="L57" s="17">
        <v>0</v>
      </c>
      <c r="M57" s="346">
        <v>0.3</v>
      </c>
      <c r="N57" s="17">
        <v>2</v>
      </c>
      <c r="O57" s="346">
        <v>0</v>
      </c>
      <c r="P57" s="17">
        <v>5</v>
      </c>
    </row>
    <row r="58" spans="1:16">
      <c r="A58" s="10">
        <f t="shared" ca="1" si="0"/>
        <v>58</v>
      </c>
      <c r="B58" s="65" t="s">
        <v>1931</v>
      </c>
      <c r="C58" s="350" t="s">
        <v>1972</v>
      </c>
      <c r="D58" s="10" t="s">
        <v>47</v>
      </c>
      <c r="E58" s="353" t="s">
        <v>518</v>
      </c>
      <c r="F58" s="352">
        <v>1</v>
      </c>
      <c r="G58" s="17">
        <f t="shared" si="1"/>
        <v>135</v>
      </c>
      <c r="H58" s="17">
        <f t="shared" si="2"/>
        <v>0</v>
      </c>
      <c r="I58" s="17">
        <v>135</v>
      </c>
      <c r="J58" s="17">
        <v>0</v>
      </c>
      <c r="K58" s="17">
        <v>450</v>
      </c>
      <c r="L58" s="17">
        <v>0</v>
      </c>
      <c r="M58" s="346">
        <v>0.3</v>
      </c>
      <c r="N58" s="17">
        <v>2</v>
      </c>
      <c r="O58" s="346">
        <v>0</v>
      </c>
      <c r="P58" s="17">
        <v>5</v>
      </c>
    </row>
    <row r="59" spans="1:16">
      <c r="A59" s="10">
        <f t="shared" ca="1" si="0"/>
        <v>70</v>
      </c>
      <c r="B59" s="65" t="s">
        <v>272</v>
      </c>
      <c r="C59" s="350" t="s">
        <v>704</v>
      </c>
      <c r="D59" s="10" t="s">
        <v>47</v>
      </c>
      <c r="E59" s="353" t="s">
        <v>499</v>
      </c>
      <c r="F59" s="352">
        <v>1</v>
      </c>
      <c r="G59" s="17">
        <f t="shared" si="1"/>
        <v>2735.1556000422102</v>
      </c>
      <c r="H59" s="17">
        <f t="shared" si="2"/>
        <v>0</v>
      </c>
      <c r="I59" s="17">
        <v>2735.1556000422102</v>
      </c>
      <c r="J59" s="17">
        <v>0</v>
      </c>
      <c r="K59" s="17">
        <v>9117.1853334740335</v>
      </c>
      <c r="L59" s="17">
        <v>0</v>
      </c>
      <c r="M59" s="346">
        <v>0.3</v>
      </c>
      <c r="N59" s="17">
        <v>2</v>
      </c>
      <c r="O59" s="346">
        <v>0</v>
      </c>
      <c r="P59" s="17">
        <v>5</v>
      </c>
    </row>
    <row r="60" spans="1:16">
      <c r="A60" s="10" t="str">
        <f t="shared" ca="1" si="0"/>
        <v/>
      </c>
      <c r="B60" s="65" t="s">
        <v>272</v>
      </c>
      <c r="C60" s="350" t="s">
        <v>1973</v>
      </c>
      <c r="D60" s="10" t="s">
        <v>47</v>
      </c>
      <c r="E60" s="353" t="s">
        <v>1974</v>
      </c>
      <c r="F60" s="352">
        <v>1</v>
      </c>
      <c r="G60" s="17">
        <f t="shared" si="1"/>
        <v>2735.1556000422102</v>
      </c>
      <c r="H60" s="17">
        <f t="shared" si="2"/>
        <v>0</v>
      </c>
      <c r="I60" s="17">
        <v>2735.1556000422102</v>
      </c>
      <c r="J60" s="17">
        <v>0</v>
      </c>
      <c r="K60" s="17">
        <v>9117.1853334740335</v>
      </c>
      <c r="L60" s="17">
        <v>0</v>
      </c>
      <c r="M60" s="346">
        <v>0.3</v>
      </c>
      <c r="N60" s="17">
        <v>2</v>
      </c>
      <c r="O60" s="346">
        <v>0</v>
      </c>
      <c r="P60" s="17">
        <v>5</v>
      </c>
    </row>
    <row r="61" spans="1:16">
      <c r="A61" s="10" t="str">
        <f t="shared" ca="1" si="0"/>
        <v/>
      </c>
      <c r="B61" s="65" t="s">
        <v>272</v>
      </c>
      <c r="C61" s="350" t="s">
        <v>705</v>
      </c>
      <c r="D61" s="10" t="s">
        <v>47</v>
      </c>
      <c r="E61" s="353" t="s">
        <v>496</v>
      </c>
      <c r="F61" s="352">
        <v>1</v>
      </c>
      <c r="G61" s="17">
        <f t="shared" si="1"/>
        <v>2735.1556000422102</v>
      </c>
      <c r="H61" s="17">
        <f t="shared" si="2"/>
        <v>0</v>
      </c>
      <c r="I61" s="17">
        <v>2735.1556000422102</v>
      </c>
      <c r="J61" s="17">
        <v>0</v>
      </c>
      <c r="K61" s="17">
        <v>9117.1853334740335</v>
      </c>
      <c r="L61" s="17">
        <v>0</v>
      </c>
      <c r="M61" s="346">
        <v>0.3</v>
      </c>
      <c r="N61" s="17">
        <v>2</v>
      </c>
      <c r="O61" s="346">
        <v>0</v>
      </c>
      <c r="P61" s="17">
        <v>5</v>
      </c>
    </row>
    <row r="62" spans="1:16">
      <c r="A62" s="10" t="str">
        <f t="shared" ca="1" si="0"/>
        <v/>
      </c>
      <c r="B62" s="65" t="s">
        <v>272</v>
      </c>
      <c r="C62" s="350" t="s">
        <v>1975</v>
      </c>
      <c r="D62" s="10" t="s">
        <v>47</v>
      </c>
      <c r="E62" s="353" t="s">
        <v>1976</v>
      </c>
      <c r="F62" s="352">
        <v>1</v>
      </c>
      <c r="G62" s="17">
        <f t="shared" si="1"/>
        <v>2735.1556000422102</v>
      </c>
      <c r="H62" s="17">
        <f t="shared" si="2"/>
        <v>0</v>
      </c>
      <c r="I62" s="17">
        <v>2735.1556000422102</v>
      </c>
      <c r="J62" s="17">
        <v>0</v>
      </c>
      <c r="K62" s="17">
        <v>9117.1853334740335</v>
      </c>
      <c r="L62" s="17">
        <v>0</v>
      </c>
      <c r="M62" s="346">
        <v>0.3</v>
      </c>
      <c r="N62" s="17">
        <v>2</v>
      </c>
      <c r="O62" s="346">
        <v>0</v>
      </c>
      <c r="P62" s="17">
        <v>5</v>
      </c>
    </row>
    <row r="63" spans="1:16">
      <c r="A63" s="10" t="str">
        <f t="shared" ca="1" si="0"/>
        <v/>
      </c>
      <c r="B63" s="65" t="s">
        <v>272</v>
      </c>
      <c r="C63" s="350" t="s">
        <v>2180</v>
      </c>
      <c r="D63" s="10" t="s">
        <v>47</v>
      </c>
      <c r="E63" s="353" t="s">
        <v>2181</v>
      </c>
      <c r="F63" s="352">
        <v>2</v>
      </c>
      <c r="G63" s="17">
        <f t="shared" si="1"/>
        <v>861.57401401329605</v>
      </c>
      <c r="H63" s="17">
        <f t="shared" si="2"/>
        <v>0</v>
      </c>
      <c r="I63" s="17">
        <v>861.57401401329605</v>
      </c>
      <c r="J63" s="17">
        <v>0</v>
      </c>
      <c r="K63" s="17">
        <v>9573.0446001477339</v>
      </c>
      <c r="L63" s="17">
        <v>0</v>
      </c>
      <c r="M63" s="346">
        <v>0.3</v>
      </c>
      <c r="N63" s="17">
        <v>2</v>
      </c>
      <c r="O63" s="346">
        <v>0</v>
      </c>
      <c r="P63" s="17">
        <v>5</v>
      </c>
    </row>
    <row r="64" spans="1:16">
      <c r="A64" s="10" t="str">
        <f t="shared" ca="1" si="0"/>
        <v/>
      </c>
      <c r="B64" s="65" t="s">
        <v>272</v>
      </c>
      <c r="C64" s="350" t="s">
        <v>2182</v>
      </c>
      <c r="D64" s="10" t="s">
        <v>47</v>
      </c>
      <c r="E64" s="353" t="s">
        <v>2183</v>
      </c>
      <c r="F64" s="352">
        <v>1</v>
      </c>
      <c r="G64" s="17">
        <f t="shared" si="1"/>
        <v>7658.4356801181884</v>
      </c>
      <c r="H64" s="17">
        <f t="shared" si="2"/>
        <v>0</v>
      </c>
      <c r="I64" s="17">
        <v>7658.4356801181884</v>
      </c>
      <c r="J64" s="17">
        <v>0</v>
      </c>
      <c r="K64" s="17">
        <v>25528.118933727295</v>
      </c>
      <c r="L64" s="17">
        <v>0</v>
      </c>
      <c r="M64" s="346">
        <v>0.3</v>
      </c>
      <c r="N64" s="17">
        <v>2</v>
      </c>
      <c r="O64" s="346">
        <v>0</v>
      </c>
      <c r="P64" s="17">
        <v>5</v>
      </c>
    </row>
    <row r="65" spans="1:16">
      <c r="A65" s="10" t="str">
        <f t="shared" ca="1" si="0"/>
        <v/>
      </c>
      <c r="B65" s="65" t="s">
        <v>272</v>
      </c>
      <c r="C65" s="350" t="s">
        <v>1977</v>
      </c>
      <c r="D65" s="10" t="s">
        <v>47</v>
      </c>
      <c r="E65" s="353" t="s">
        <v>1966</v>
      </c>
      <c r="F65" s="352">
        <v>1</v>
      </c>
      <c r="G65" s="17">
        <f t="shared" si="1"/>
        <v>2735.1556000422102</v>
      </c>
      <c r="H65" s="17">
        <f t="shared" si="2"/>
        <v>0</v>
      </c>
      <c r="I65" s="17">
        <v>2735.1556000422102</v>
      </c>
      <c r="J65" s="17">
        <v>0</v>
      </c>
      <c r="K65" s="17">
        <v>9117.1853334740335</v>
      </c>
      <c r="L65" s="17">
        <v>0</v>
      </c>
      <c r="M65" s="346">
        <v>0.3</v>
      </c>
      <c r="N65" s="17">
        <v>2</v>
      </c>
      <c r="O65" s="346">
        <v>0</v>
      </c>
      <c r="P65" s="17">
        <v>5</v>
      </c>
    </row>
    <row r="66" spans="1:16">
      <c r="A66" s="10" t="str">
        <f t="shared" ref="A66:A129" ca="1" si="3">IF(B65=B66,"",ROW(A66)-1+MATCH(B66,INDIRECT("B"&amp;ROW(A66)&amp;":"&amp;"B"&amp;$A$1),1))</f>
        <v/>
      </c>
      <c r="B66" s="65" t="s">
        <v>272</v>
      </c>
      <c r="C66" s="350" t="s">
        <v>1978</v>
      </c>
      <c r="D66" s="10" t="s">
        <v>47</v>
      </c>
      <c r="E66" s="353" t="s">
        <v>495</v>
      </c>
      <c r="F66" s="352">
        <v>5</v>
      </c>
      <c r="G66" s="17">
        <f t="shared" ref="G66:G129" si="4">IF($R$2=1,K66,I66)</f>
        <v>2735.1556000422102</v>
      </c>
      <c r="H66" s="17">
        <f t="shared" ref="H66:H129" si="5">IF($R$2=1,L66,J66)</f>
        <v>0</v>
      </c>
      <c r="I66" s="17">
        <v>2735.1556000422102</v>
      </c>
      <c r="J66" s="17">
        <v>0</v>
      </c>
      <c r="K66" s="17">
        <v>9117.1853334740335</v>
      </c>
      <c r="L66" s="17">
        <v>0</v>
      </c>
      <c r="M66" s="346">
        <v>0.3</v>
      </c>
      <c r="N66" s="17">
        <v>2</v>
      </c>
      <c r="O66" s="346">
        <v>0</v>
      </c>
      <c r="P66" s="17">
        <v>5</v>
      </c>
    </row>
    <row r="67" spans="1:16">
      <c r="A67" s="10" t="str">
        <f t="shared" ca="1" si="3"/>
        <v/>
      </c>
      <c r="B67" s="65" t="s">
        <v>272</v>
      </c>
      <c r="C67" s="350" t="s">
        <v>1979</v>
      </c>
      <c r="D67" s="10" t="s">
        <v>47</v>
      </c>
      <c r="E67" s="353" t="s">
        <v>538</v>
      </c>
      <c r="F67" s="352">
        <v>2</v>
      </c>
      <c r="G67" s="17">
        <f t="shared" si="4"/>
        <v>820.54668001266305</v>
      </c>
      <c r="H67" s="17">
        <f t="shared" si="5"/>
        <v>0</v>
      </c>
      <c r="I67" s="17">
        <v>820.54668001266305</v>
      </c>
      <c r="J67" s="17">
        <v>0</v>
      </c>
      <c r="K67" s="17">
        <v>9117.1853334740335</v>
      </c>
      <c r="L67" s="17">
        <v>0</v>
      </c>
      <c r="M67" s="346">
        <v>0.3</v>
      </c>
      <c r="N67" s="17">
        <v>2</v>
      </c>
      <c r="O67" s="346">
        <v>0</v>
      </c>
      <c r="P67" s="17">
        <v>5</v>
      </c>
    </row>
    <row r="68" spans="1:16">
      <c r="A68" s="10" t="str">
        <f t="shared" ca="1" si="3"/>
        <v/>
      </c>
      <c r="B68" s="65" t="s">
        <v>272</v>
      </c>
      <c r="C68" s="350" t="s">
        <v>706</v>
      </c>
      <c r="D68" s="10" t="s">
        <v>47</v>
      </c>
      <c r="E68" s="353" t="s">
        <v>510</v>
      </c>
      <c r="F68" s="352">
        <v>5</v>
      </c>
      <c r="G68" s="17">
        <f t="shared" si="4"/>
        <v>2735.1556000422102</v>
      </c>
      <c r="H68" s="17">
        <f t="shared" si="5"/>
        <v>0</v>
      </c>
      <c r="I68" s="17">
        <v>2735.1556000422102</v>
      </c>
      <c r="J68" s="17">
        <v>0</v>
      </c>
      <c r="K68" s="17">
        <v>9117.1853334740335</v>
      </c>
      <c r="L68" s="17">
        <v>0</v>
      </c>
      <c r="M68" s="346">
        <v>0.3</v>
      </c>
      <c r="N68" s="17">
        <v>2</v>
      </c>
      <c r="O68" s="346">
        <v>0</v>
      </c>
      <c r="P68" s="17">
        <v>5</v>
      </c>
    </row>
    <row r="69" spans="1:16">
      <c r="A69" s="10" t="str">
        <f t="shared" ca="1" si="3"/>
        <v/>
      </c>
      <c r="B69" s="65" t="s">
        <v>272</v>
      </c>
      <c r="C69" s="350" t="s">
        <v>707</v>
      </c>
      <c r="D69" s="10" t="s">
        <v>47</v>
      </c>
      <c r="E69" s="353" t="s">
        <v>504</v>
      </c>
      <c r="F69" s="352">
        <v>1</v>
      </c>
      <c r="G69" s="17">
        <f t="shared" si="4"/>
        <v>2735.1556000422102</v>
      </c>
      <c r="H69" s="17">
        <f t="shared" si="5"/>
        <v>0</v>
      </c>
      <c r="I69" s="17">
        <v>2735.1556000422102</v>
      </c>
      <c r="J69" s="17">
        <v>0</v>
      </c>
      <c r="K69" s="17">
        <v>9117.1853334740335</v>
      </c>
      <c r="L69" s="17">
        <v>0</v>
      </c>
      <c r="M69" s="346">
        <v>0.3</v>
      </c>
      <c r="N69" s="17">
        <v>2</v>
      </c>
      <c r="O69" s="346">
        <v>0</v>
      </c>
      <c r="P69" s="17">
        <v>5</v>
      </c>
    </row>
    <row r="70" spans="1:16">
      <c r="A70" s="10" t="str">
        <f t="shared" ca="1" si="3"/>
        <v/>
      </c>
      <c r="B70" s="65" t="s">
        <v>272</v>
      </c>
      <c r="C70" s="350" t="s">
        <v>2184</v>
      </c>
      <c r="D70" s="10" t="s">
        <v>47</v>
      </c>
      <c r="E70" s="353" t="s">
        <v>2176</v>
      </c>
      <c r="F70" s="352">
        <v>2</v>
      </c>
      <c r="G70" s="17">
        <f t="shared" si="4"/>
        <v>1846.2300300284915</v>
      </c>
      <c r="H70" s="17">
        <f t="shared" si="5"/>
        <v>0</v>
      </c>
      <c r="I70" s="17">
        <v>1846.2300300284915</v>
      </c>
      <c r="J70" s="17">
        <v>0</v>
      </c>
      <c r="K70" s="17">
        <v>20513.667000316575</v>
      </c>
      <c r="L70" s="17">
        <v>0</v>
      </c>
      <c r="M70" s="346">
        <v>0.3</v>
      </c>
      <c r="N70" s="17">
        <v>2</v>
      </c>
      <c r="O70" s="346">
        <v>0</v>
      </c>
      <c r="P70" s="17">
        <v>5</v>
      </c>
    </row>
    <row r="71" spans="1:16">
      <c r="A71" s="10">
        <f t="shared" ca="1" si="3"/>
        <v>71</v>
      </c>
      <c r="B71" s="65" t="s">
        <v>1932</v>
      </c>
      <c r="C71" s="350" t="s">
        <v>1980</v>
      </c>
      <c r="D71" s="10" t="s">
        <v>47</v>
      </c>
      <c r="E71" s="353" t="s">
        <v>538</v>
      </c>
      <c r="F71" s="352">
        <v>2</v>
      </c>
      <c r="G71" s="17">
        <f t="shared" si="4"/>
        <v>0</v>
      </c>
      <c r="H71" s="17">
        <f t="shared" si="5"/>
        <v>0</v>
      </c>
      <c r="I71" s="17">
        <v>0</v>
      </c>
      <c r="J71" s="17">
        <v>0</v>
      </c>
      <c r="K71" s="17">
        <v>0</v>
      </c>
      <c r="L71" s="17">
        <v>0</v>
      </c>
      <c r="M71" s="346">
        <v>0.3</v>
      </c>
      <c r="N71" s="17">
        <v>2</v>
      </c>
      <c r="O71" s="346">
        <v>0</v>
      </c>
      <c r="P71" s="17">
        <v>5</v>
      </c>
    </row>
    <row r="72" spans="1:16">
      <c r="A72" s="10">
        <f t="shared" ca="1" si="3"/>
        <v>75</v>
      </c>
      <c r="B72" s="65" t="s">
        <v>252</v>
      </c>
      <c r="C72" s="350" t="s">
        <v>1981</v>
      </c>
      <c r="D72" s="10" t="s">
        <v>47</v>
      </c>
      <c r="E72" s="353" t="s">
        <v>1982</v>
      </c>
      <c r="F72" s="352">
        <v>1</v>
      </c>
      <c r="G72" s="17">
        <f t="shared" si="4"/>
        <v>201.98142369358834</v>
      </c>
      <c r="H72" s="17">
        <f t="shared" si="5"/>
        <v>0</v>
      </c>
      <c r="I72" s="17">
        <v>201.98142369358834</v>
      </c>
      <c r="J72" s="17">
        <v>0</v>
      </c>
      <c r="K72" s="17">
        <v>673.27141231196117</v>
      </c>
      <c r="L72" s="17">
        <v>0</v>
      </c>
      <c r="M72" s="346">
        <v>0.3</v>
      </c>
      <c r="N72" s="17">
        <v>2</v>
      </c>
      <c r="O72" s="346">
        <v>0</v>
      </c>
      <c r="P72" s="17">
        <v>5</v>
      </c>
    </row>
    <row r="73" spans="1:16">
      <c r="A73" s="10" t="str">
        <f t="shared" ca="1" si="3"/>
        <v/>
      </c>
      <c r="B73" s="65" t="s">
        <v>252</v>
      </c>
      <c r="C73" s="350" t="s">
        <v>708</v>
      </c>
      <c r="D73" s="10" t="s">
        <v>47</v>
      </c>
      <c r="E73" s="353" t="s">
        <v>511</v>
      </c>
      <c r="F73" s="352">
        <v>8</v>
      </c>
      <c r="G73" s="17">
        <f t="shared" si="4"/>
        <v>100.99071184679417</v>
      </c>
      <c r="H73" s="17">
        <f t="shared" si="5"/>
        <v>0</v>
      </c>
      <c r="I73" s="17">
        <v>100.99071184679417</v>
      </c>
      <c r="J73" s="17">
        <v>0</v>
      </c>
      <c r="K73" s="17">
        <v>336.63570615598059</v>
      </c>
      <c r="L73" s="17">
        <v>0</v>
      </c>
      <c r="M73" s="346">
        <v>0.3</v>
      </c>
      <c r="N73" s="17">
        <v>2</v>
      </c>
      <c r="O73" s="346">
        <v>0</v>
      </c>
      <c r="P73" s="17">
        <v>5</v>
      </c>
    </row>
    <row r="74" spans="1:16">
      <c r="A74" s="10" t="str">
        <f t="shared" ca="1" si="3"/>
        <v/>
      </c>
      <c r="B74" s="65" t="s">
        <v>252</v>
      </c>
      <c r="C74" s="350" t="s">
        <v>709</v>
      </c>
      <c r="D74" s="10" t="s">
        <v>47</v>
      </c>
      <c r="E74" s="353" t="s">
        <v>502</v>
      </c>
      <c r="F74" s="352">
        <v>2</v>
      </c>
      <c r="G74" s="17">
        <f t="shared" si="4"/>
        <v>30.297213554038251</v>
      </c>
      <c r="H74" s="17">
        <f t="shared" si="5"/>
        <v>0</v>
      </c>
      <c r="I74" s="17">
        <v>30.297213554038251</v>
      </c>
      <c r="J74" s="17">
        <v>0</v>
      </c>
      <c r="K74" s="17">
        <v>336.63570615598059</v>
      </c>
      <c r="L74" s="17">
        <v>0</v>
      </c>
      <c r="M74" s="346">
        <v>0.3</v>
      </c>
      <c r="N74" s="17">
        <v>2</v>
      </c>
      <c r="O74" s="346">
        <v>0</v>
      </c>
      <c r="P74" s="17">
        <v>5</v>
      </c>
    </row>
    <row r="75" spans="1:16">
      <c r="A75" s="10" t="str">
        <f t="shared" ca="1" si="3"/>
        <v/>
      </c>
      <c r="B75" s="65" t="s">
        <v>252</v>
      </c>
      <c r="C75" s="350" t="s">
        <v>710</v>
      </c>
      <c r="D75" s="10" t="s">
        <v>47</v>
      </c>
      <c r="E75" s="353" t="s">
        <v>512</v>
      </c>
      <c r="F75" s="352">
        <v>2</v>
      </c>
      <c r="G75" s="17">
        <f t="shared" si="4"/>
        <v>30.297213554038251</v>
      </c>
      <c r="H75" s="17">
        <f t="shared" si="5"/>
        <v>0</v>
      </c>
      <c r="I75" s="17">
        <v>30.297213554038251</v>
      </c>
      <c r="J75" s="17">
        <v>0</v>
      </c>
      <c r="K75" s="17">
        <v>336.63570615598059</v>
      </c>
      <c r="L75" s="17">
        <v>0</v>
      </c>
      <c r="M75" s="346">
        <v>0.3</v>
      </c>
      <c r="N75" s="17">
        <v>2</v>
      </c>
      <c r="O75" s="346">
        <v>0</v>
      </c>
      <c r="P75" s="17">
        <v>5</v>
      </c>
    </row>
    <row r="76" spans="1:16">
      <c r="A76" s="10">
        <f t="shared" ca="1" si="3"/>
        <v>76</v>
      </c>
      <c r="B76" s="65" t="s">
        <v>2150</v>
      </c>
      <c r="C76" s="350" t="s">
        <v>2185</v>
      </c>
      <c r="D76" s="10" t="s">
        <v>47</v>
      </c>
      <c r="E76" s="353" t="s">
        <v>501</v>
      </c>
      <c r="F76" s="352">
        <v>2</v>
      </c>
      <c r="G76" s="17">
        <f t="shared" si="4"/>
        <v>35.694649954676557</v>
      </c>
      <c r="H76" s="17">
        <f t="shared" si="5"/>
        <v>0</v>
      </c>
      <c r="I76" s="17">
        <v>35.694649954676557</v>
      </c>
      <c r="J76" s="17">
        <v>0</v>
      </c>
      <c r="K76" s="17">
        <v>396.60722171862847</v>
      </c>
      <c r="L76" s="17">
        <v>0</v>
      </c>
      <c r="M76" s="346">
        <v>0.3</v>
      </c>
      <c r="N76" s="17">
        <v>2</v>
      </c>
      <c r="O76" s="346">
        <v>0</v>
      </c>
      <c r="P76" s="17">
        <v>5</v>
      </c>
    </row>
    <row r="77" spans="1:16">
      <c r="A77" s="10">
        <f t="shared" ca="1" si="3"/>
        <v>77</v>
      </c>
      <c r="B77" s="65" t="s">
        <v>263</v>
      </c>
      <c r="C77" s="350" t="s">
        <v>1983</v>
      </c>
      <c r="D77" s="10" t="s">
        <v>47</v>
      </c>
      <c r="E77" s="353" t="s">
        <v>1976</v>
      </c>
      <c r="F77" s="352">
        <v>1</v>
      </c>
      <c r="G77" s="17">
        <f t="shared" si="4"/>
        <v>5230.3780807915236</v>
      </c>
      <c r="H77" s="17">
        <f t="shared" si="5"/>
        <v>0</v>
      </c>
      <c r="I77" s="17">
        <v>5230.3780807915236</v>
      </c>
      <c r="J77" s="17">
        <v>0</v>
      </c>
      <c r="K77" s="17">
        <v>17434.593602638412</v>
      </c>
      <c r="L77" s="17">
        <v>0</v>
      </c>
      <c r="M77" s="346">
        <v>0.3</v>
      </c>
      <c r="N77" s="17">
        <v>2</v>
      </c>
      <c r="O77" s="346">
        <v>0</v>
      </c>
      <c r="P77" s="17">
        <v>5</v>
      </c>
    </row>
    <row r="78" spans="1:16">
      <c r="A78" s="10">
        <f t="shared" ca="1" si="3"/>
        <v>78</v>
      </c>
      <c r="B78" s="65" t="s">
        <v>1933</v>
      </c>
      <c r="C78" s="350" t="s">
        <v>1984</v>
      </c>
      <c r="D78" s="10" t="s">
        <v>47</v>
      </c>
      <c r="E78" s="353" t="s">
        <v>531</v>
      </c>
      <c r="F78" s="352">
        <v>1</v>
      </c>
      <c r="G78" s="17">
        <f t="shared" si="4"/>
        <v>103.27499999999999</v>
      </c>
      <c r="H78" s="17">
        <f t="shared" si="5"/>
        <v>0</v>
      </c>
      <c r="I78" s="17">
        <v>103.27499999999999</v>
      </c>
      <c r="J78" s="17">
        <v>0</v>
      </c>
      <c r="K78" s="17">
        <v>344.25</v>
      </c>
      <c r="L78" s="17">
        <v>0</v>
      </c>
      <c r="M78" s="346">
        <v>0.3</v>
      </c>
      <c r="N78" s="17">
        <v>2</v>
      </c>
      <c r="O78" s="346">
        <v>0</v>
      </c>
      <c r="P78" s="17">
        <v>5</v>
      </c>
    </row>
    <row r="79" spans="1:16">
      <c r="A79" s="10">
        <f t="shared" ca="1" si="3"/>
        <v>84</v>
      </c>
      <c r="B79" s="65" t="s">
        <v>227</v>
      </c>
      <c r="C79" s="350" t="s">
        <v>711</v>
      </c>
      <c r="D79" s="10" t="s">
        <v>47</v>
      </c>
      <c r="E79" s="353" t="s">
        <v>508</v>
      </c>
      <c r="F79" s="352">
        <v>1</v>
      </c>
      <c r="G79" s="17">
        <f t="shared" si="4"/>
        <v>319.02763686001708</v>
      </c>
      <c r="H79" s="17">
        <f t="shared" si="5"/>
        <v>0</v>
      </c>
      <c r="I79" s="17">
        <v>319.02763686001708</v>
      </c>
      <c r="J79" s="17">
        <v>0</v>
      </c>
      <c r="K79" s="17">
        <v>1063.4254562000569</v>
      </c>
      <c r="L79" s="17">
        <v>0</v>
      </c>
      <c r="M79" s="346">
        <v>0.3</v>
      </c>
      <c r="N79" s="17">
        <v>2</v>
      </c>
      <c r="O79" s="346">
        <v>0</v>
      </c>
      <c r="P79" s="17">
        <v>5</v>
      </c>
    </row>
    <row r="80" spans="1:16">
      <c r="A80" s="10" t="str">
        <f t="shared" ca="1" si="3"/>
        <v/>
      </c>
      <c r="B80" s="65" t="s">
        <v>227</v>
      </c>
      <c r="C80" s="350" t="s">
        <v>2186</v>
      </c>
      <c r="D80" s="10" t="s">
        <v>47</v>
      </c>
      <c r="E80" s="353" t="s">
        <v>2173</v>
      </c>
      <c r="F80" s="352">
        <v>1</v>
      </c>
      <c r="G80" s="17">
        <f t="shared" si="4"/>
        <v>319.02763686001708</v>
      </c>
      <c r="H80" s="17">
        <f t="shared" si="5"/>
        <v>0</v>
      </c>
      <c r="I80" s="17">
        <v>319.02763686001708</v>
      </c>
      <c r="J80" s="17">
        <v>0</v>
      </c>
      <c r="K80" s="17">
        <v>1063.4254562000569</v>
      </c>
      <c r="L80" s="17">
        <v>0</v>
      </c>
      <c r="M80" s="346">
        <v>0.3</v>
      </c>
      <c r="N80" s="17">
        <v>2</v>
      </c>
      <c r="O80" s="346">
        <v>0</v>
      </c>
      <c r="P80" s="17">
        <v>5</v>
      </c>
    </row>
    <row r="81" spans="1:16">
      <c r="A81" s="10" t="str">
        <f t="shared" ca="1" si="3"/>
        <v/>
      </c>
      <c r="B81" s="65" t="s">
        <v>227</v>
      </c>
      <c r="C81" s="350" t="s">
        <v>712</v>
      </c>
      <c r="D81" s="10" t="s">
        <v>47</v>
      </c>
      <c r="E81" s="353" t="s">
        <v>513</v>
      </c>
      <c r="F81" s="352">
        <v>1</v>
      </c>
      <c r="G81" s="17">
        <f t="shared" si="4"/>
        <v>319.02763686001708</v>
      </c>
      <c r="H81" s="17">
        <f t="shared" si="5"/>
        <v>0</v>
      </c>
      <c r="I81" s="17">
        <v>319.02763686001708</v>
      </c>
      <c r="J81" s="17">
        <v>0</v>
      </c>
      <c r="K81" s="17">
        <v>1063.4254562000569</v>
      </c>
      <c r="L81" s="17">
        <v>0</v>
      </c>
      <c r="M81" s="346">
        <v>0.3</v>
      </c>
      <c r="N81" s="17">
        <v>2</v>
      </c>
      <c r="O81" s="346">
        <v>0</v>
      </c>
      <c r="P81" s="17">
        <v>5</v>
      </c>
    </row>
    <row r="82" spans="1:16">
      <c r="A82" s="10" t="str">
        <f t="shared" ca="1" si="3"/>
        <v/>
      </c>
      <c r="B82" s="65" t="s">
        <v>227</v>
      </c>
      <c r="C82" s="350" t="s">
        <v>713</v>
      </c>
      <c r="D82" s="10" t="s">
        <v>47</v>
      </c>
      <c r="E82" s="353" t="s">
        <v>509</v>
      </c>
      <c r="F82" s="352">
        <v>1</v>
      </c>
      <c r="G82" s="17">
        <f t="shared" si="4"/>
        <v>1276.1105474400683</v>
      </c>
      <c r="H82" s="17">
        <f t="shared" si="5"/>
        <v>0</v>
      </c>
      <c r="I82" s="17">
        <v>1276.1105474400683</v>
      </c>
      <c r="J82" s="17">
        <v>0</v>
      </c>
      <c r="K82" s="17">
        <v>4253.7018248002278</v>
      </c>
      <c r="L82" s="17">
        <v>0</v>
      </c>
      <c r="M82" s="346">
        <v>0.3</v>
      </c>
      <c r="N82" s="17">
        <v>2</v>
      </c>
      <c r="O82" s="346">
        <v>0</v>
      </c>
      <c r="P82" s="17">
        <v>5</v>
      </c>
    </row>
    <row r="83" spans="1:16">
      <c r="A83" s="10" t="str">
        <f t="shared" ca="1" si="3"/>
        <v/>
      </c>
      <c r="B83" s="65" t="s">
        <v>227</v>
      </c>
      <c r="C83" s="350" t="s">
        <v>714</v>
      </c>
      <c r="D83" s="10" t="s">
        <v>47</v>
      </c>
      <c r="E83" s="353" t="s">
        <v>496</v>
      </c>
      <c r="F83" s="352">
        <v>1</v>
      </c>
      <c r="G83" s="17">
        <f t="shared" si="4"/>
        <v>1116.5967290100596</v>
      </c>
      <c r="H83" s="17">
        <f t="shared" si="5"/>
        <v>0</v>
      </c>
      <c r="I83" s="17">
        <v>1116.5967290100596</v>
      </c>
      <c r="J83" s="17">
        <v>0</v>
      </c>
      <c r="K83" s="17">
        <v>3721.9890967001988</v>
      </c>
      <c r="L83" s="17">
        <v>0</v>
      </c>
      <c r="M83" s="346">
        <v>0.3</v>
      </c>
      <c r="N83" s="17">
        <v>2</v>
      </c>
      <c r="O83" s="346">
        <v>0</v>
      </c>
      <c r="P83" s="17">
        <v>5</v>
      </c>
    </row>
    <row r="84" spans="1:16">
      <c r="A84" s="10" t="str">
        <f t="shared" ca="1" si="3"/>
        <v/>
      </c>
      <c r="B84" s="65" t="s">
        <v>227</v>
      </c>
      <c r="C84" s="350" t="s">
        <v>715</v>
      </c>
      <c r="D84" s="10" t="s">
        <v>47</v>
      </c>
      <c r="E84" s="353" t="s">
        <v>498</v>
      </c>
      <c r="F84" s="352">
        <v>1</v>
      </c>
      <c r="G84" s="17">
        <f t="shared" si="4"/>
        <v>638.05527372003417</v>
      </c>
      <c r="H84" s="17">
        <f t="shared" si="5"/>
        <v>0</v>
      </c>
      <c r="I84" s="17">
        <v>638.05527372003417</v>
      </c>
      <c r="J84" s="17">
        <v>0</v>
      </c>
      <c r="K84" s="17">
        <v>2126.8509124001139</v>
      </c>
      <c r="L84" s="17">
        <v>0</v>
      </c>
      <c r="M84" s="346">
        <v>0.3</v>
      </c>
      <c r="N84" s="17">
        <v>2</v>
      </c>
      <c r="O84" s="346">
        <v>0</v>
      </c>
      <c r="P84" s="17">
        <v>5</v>
      </c>
    </row>
    <row r="85" spans="1:16">
      <c r="A85" s="10">
        <f t="shared" ca="1" si="3"/>
        <v>93</v>
      </c>
      <c r="B85" s="65" t="s">
        <v>233</v>
      </c>
      <c r="C85" s="350" t="s">
        <v>716</v>
      </c>
      <c r="D85" s="10" t="s">
        <v>47</v>
      </c>
      <c r="E85" s="353" t="s">
        <v>508</v>
      </c>
      <c r="F85" s="352">
        <v>1</v>
      </c>
      <c r="G85" s="17">
        <f t="shared" si="4"/>
        <v>393.67573809798711</v>
      </c>
      <c r="H85" s="17">
        <f t="shared" si="5"/>
        <v>0</v>
      </c>
      <c r="I85" s="17">
        <v>393.67573809798711</v>
      </c>
      <c r="J85" s="17">
        <v>0</v>
      </c>
      <c r="K85" s="17">
        <v>1312.2524603266238</v>
      </c>
      <c r="L85" s="17">
        <v>0</v>
      </c>
      <c r="M85" s="346">
        <v>0.3</v>
      </c>
      <c r="N85" s="17">
        <v>2</v>
      </c>
      <c r="O85" s="346">
        <v>0</v>
      </c>
      <c r="P85" s="17">
        <v>5</v>
      </c>
    </row>
    <row r="86" spans="1:16">
      <c r="A86" s="10" t="str">
        <f t="shared" ca="1" si="3"/>
        <v/>
      </c>
      <c r="B86" s="65" t="s">
        <v>233</v>
      </c>
      <c r="C86" s="350" t="s">
        <v>2187</v>
      </c>
      <c r="D86" s="10" t="s">
        <v>47</v>
      </c>
      <c r="E86" s="353" t="s">
        <v>2173</v>
      </c>
      <c r="F86" s="352">
        <v>1</v>
      </c>
      <c r="G86" s="17">
        <f t="shared" si="4"/>
        <v>393.67573809798711</v>
      </c>
      <c r="H86" s="17">
        <f t="shared" si="5"/>
        <v>0</v>
      </c>
      <c r="I86" s="17">
        <v>393.67573809798711</v>
      </c>
      <c r="J86" s="17">
        <v>0</v>
      </c>
      <c r="K86" s="17">
        <v>1312.2524603266238</v>
      </c>
      <c r="L86" s="17">
        <v>0</v>
      </c>
      <c r="M86" s="346">
        <v>0.3</v>
      </c>
      <c r="N86" s="17">
        <v>2</v>
      </c>
      <c r="O86" s="346">
        <v>0</v>
      </c>
      <c r="P86" s="17">
        <v>5</v>
      </c>
    </row>
    <row r="87" spans="1:16">
      <c r="A87" s="10" t="str">
        <f t="shared" ca="1" si="3"/>
        <v/>
      </c>
      <c r="B87" s="65" t="s">
        <v>233</v>
      </c>
      <c r="C87" s="350" t="s">
        <v>2188</v>
      </c>
      <c r="D87" s="10" t="s">
        <v>47</v>
      </c>
      <c r="E87" s="353" t="s">
        <v>2178</v>
      </c>
      <c r="F87" s="352">
        <v>1</v>
      </c>
      <c r="G87" s="17">
        <f t="shared" si="4"/>
        <v>1968.3786904899353</v>
      </c>
      <c r="H87" s="17">
        <f t="shared" si="5"/>
        <v>0</v>
      </c>
      <c r="I87" s="17">
        <v>1968.3786904899353</v>
      </c>
      <c r="J87" s="17">
        <v>0</v>
      </c>
      <c r="K87" s="17">
        <v>6561.2623016331181</v>
      </c>
      <c r="L87" s="17">
        <v>0</v>
      </c>
      <c r="M87" s="346">
        <v>0.3</v>
      </c>
      <c r="N87" s="17">
        <v>2</v>
      </c>
      <c r="O87" s="346">
        <v>0</v>
      </c>
      <c r="P87" s="17">
        <v>5</v>
      </c>
    </row>
    <row r="88" spans="1:16">
      <c r="A88" s="10" t="str">
        <f t="shared" ca="1" si="3"/>
        <v/>
      </c>
      <c r="B88" s="65" t="s">
        <v>233</v>
      </c>
      <c r="C88" s="350" t="s">
        <v>717</v>
      </c>
      <c r="D88" s="10" t="s">
        <v>47</v>
      </c>
      <c r="E88" s="353" t="s">
        <v>514</v>
      </c>
      <c r="F88" s="352">
        <v>1</v>
      </c>
      <c r="G88" s="17">
        <f t="shared" si="4"/>
        <v>393.67573809798711</v>
      </c>
      <c r="H88" s="17">
        <f t="shared" si="5"/>
        <v>0</v>
      </c>
      <c r="I88" s="17">
        <v>393.67573809798711</v>
      </c>
      <c r="J88" s="17">
        <v>0</v>
      </c>
      <c r="K88" s="17">
        <v>1312.2524603266238</v>
      </c>
      <c r="L88" s="17">
        <v>0</v>
      </c>
      <c r="M88" s="346">
        <v>0.3</v>
      </c>
      <c r="N88" s="17">
        <v>2</v>
      </c>
      <c r="O88" s="346">
        <v>0</v>
      </c>
      <c r="P88" s="17">
        <v>5</v>
      </c>
    </row>
    <row r="89" spans="1:16">
      <c r="A89" s="10" t="str">
        <f t="shared" ca="1" si="3"/>
        <v/>
      </c>
      <c r="B89" s="65" t="s">
        <v>233</v>
      </c>
      <c r="C89" s="350" t="s">
        <v>718</v>
      </c>
      <c r="D89" s="10" t="s">
        <v>47</v>
      </c>
      <c r="E89" s="353" t="s">
        <v>513</v>
      </c>
      <c r="F89" s="352">
        <v>1</v>
      </c>
      <c r="G89" s="17">
        <f t="shared" si="4"/>
        <v>393.67573809798711</v>
      </c>
      <c r="H89" s="17">
        <f t="shared" si="5"/>
        <v>0</v>
      </c>
      <c r="I89" s="17">
        <v>393.67573809798711</v>
      </c>
      <c r="J89" s="17">
        <v>0</v>
      </c>
      <c r="K89" s="17">
        <v>1312.2524603266238</v>
      </c>
      <c r="L89" s="17">
        <v>0</v>
      </c>
      <c r="M89" s="346">
        <v>0.3</v>
      </c>
      <c r="N89" s="17">
        <v>2</v>
      </c>
      <c r="O89" s="346">
        <v>0</v>
      </c>
      <c r="P89" s="17">
        <v>5</v>
      </c>
    </row>
    <row r="90" spans="1:16">
      <c r="A90" s="10" t="str">
        <f t="shared" ca="1" si="3"/>
        <v/>
      </c>
      <c r="B90" s="65" t="s">
        <v>233</v>
      </c>
      <c r="C90" s="350" t="s">
        <v>719</v>
      </c>
      <c r="D90" s="10" t="s">
        <v>47</v>
      </c>
      <c r="E90" s="353" t="s">
        <v>507</v>
      </c>
      <c r="F90" s="352">
        <v>1</v>
      </c>
      <c r="G90" s="17">
        <f t="shared" si="4"/>
        <v>393.67573809798711</v>
      </c>
      <c r="H90" s="17">
        <f t="shared" si="5"/>
        <v>0</v>
      </c>
      <c r="I90" s="17">
        <v>393.67573809798711</v>
      </c>
      <c r="J90" s="17">
        <v>0</v>
      </c>
      <c r="K90" s="17">
        <v>1312.2524603266238</v>
      </c>
      <c r="L90" s="17">
        <v>0</v>
      </c>
      <c r="M90" s="346">
        <v>0.3</v>
      </c>
      <c r="N90" s="17">
        <v>2</v>
      </c>
      <c r="O90" s="346">
        <v>0</v>
      </c>
      <c r="P90" s="17">
        <v>5</v>
      </c>
    </row>
    <row r="91" spans="1:16">
      <c r="A91" s="10" t="str">
        <f t="shared" ca="1" si="3"/>
        <v/>
      </c>
      <c r="B91" s="65" t="s">
        <v>233</v>
      </c>
      <c r="C91" s="350" t="s">
        <v>2189</v>
      </c>
      <c r="D91" s="10" t="s">
        <v>47</v>
      </c>
      <c r="E91" s="353" t="s">
        <v>2190</v>
      </c>
      <c r="F91" s="352">
        <v>2</v>
      </c>
      <c r="G91" s="17">
        <f t="shared" si="4"/>
        <v>862.14986643459167</v>
      </c>
      <c r="H91" s="17">
        <f t="shared" si="5"/>
        <v>0</v>
      </c>
      <c r="I91" s="17">
        <v>862.14986643459167</v>
      </c>
      <c r="J91" s="17">
        <v>0</v>
      </c>
      <c r="K91" s="17">
        <v>9579.4429603843528</v>
      </c>
      <c r="L91" s="17">
        <v>0</v>
      </c>
      <c r="M91" s="346">
        <v>0.3</v>
      </c>
      <c r="N91" s="17">
        <v>2</v>
      </c>
      <c r="O91" s="346">
        <v>0</v>
      </c>
      <c r="P91" s="17">
        <v>5</v>
      </c>
    </row>
    <row r="92" spans="1:16">
      <c r="A92" s="10" t="str">
        <f t="shared" ca="1" si="3"/>
        <v/>
      </c>
      <c r="B92" s="65" t="s">
        <v>233</v>
      </c>
      <c r="C92" s="350" t="s">
        <v>720</v>
      </c>
      <c r="D92" s="10" t="s">
        <v>47</v>
      </c>
      <c r="E92" s="353" t="s">
        <v>496</v>
      </c>
      <c r="F92" s="352">
        <v>1</v>
      </c>
      <c r="G92" s="17">
        <f t="shared" si="4"/>
        <v>1377.8650833429544</v>
      </c>
      <c r="H92" s="17">
        <f t="shared" si="5"/>
        <v>0</v>
      </c>
      <c r="I92" s="17">
        <v>1377.8650833429544</v>
      </c>
      <c r="J92" s="17">
        <v>0</v>
      </c>
      <c r="K92" s="17">
        <v>4592.883611143182</v>
      </c>
      <c r="L92" s="17">
        <v>0</v>
      </c>
      <c r="M92" s="346">
        <v>0.3</v>
      </c>
      <c r="N92" s="17">
        <v>2</v>
      </c>
      <c r="O92" s="346">
        <v>0</v>
      </c>
      <c r="P92" s="17">
        <v>5</v>
      </c>
    </row>
    <row r="93" spans="1:16">
      <c r="A93" s="10" t="str">
        <f t="shared" ca="1" si="3"/>
        <v/>
      </c>
      <c r="B93" s="65" t="s">
        <v>233</v>
      </c>
      <c r="C93" s="350" t="s">
        <v>721</v>
      </c>
      <c r="D93" s="10" t="s">
        <v>47</v>
      </c>
      <c r="E93" s="353" t="s">
        <v>498</v>
      </c>
      <c r="F93" s="352">
        <v>1</v>
      </c>
      <c r="G93" s="17">
        <f t="shared" si="4"/>
        <v>787.35147619597421</v>
      </c>
      <c r="H93" s="17">
        <f t="shared" si="5"/>
        <v>0</v>
      </c>
      <c r="I93" s="17">
        <v>787.35147619597421</v>
      </c>
      <c r="J93" s="17">
        <v>0</v>
      </c>
      <c r="K93" s="17">
        <v>2624.5049206532476</v>
      </c>
      <c r="L93" s="17">
        <v>0</v>
      </c>
      <c r="M93" s="346">
        <v>0.3</v>
      </c>
      <c r="N93" s="17">
        <v>2</v>
      </c>
      <c r="O93" s="346">
        <v>0</v>
      </c>
      <c r="P93" s="17">
        <v>5</v>
      </c>
    </row>
    <row r="94" spans="1:16">
      <c r="A94" s="10">
        <f t="shared" ca="1" si="3"/>
        <v>100</v>
      </c>
      <c r="B94" s="65" t="s">
        <v>276</v>
      </c>
      <c r="C94" s="350" t="s">
        <v>722</v>
      </c>
      <c r="D94" s="10" t="s">
        <v>47</v>
      </c>
      <c r="E94" s="353" t="s">
        <v>496</v>
      </c>
      <c r="F94" s="352">
        <v>1</v>
      </c>
      <c r="G94" s="17">
        <f t="shared" si="4"/>
        <v>1026.5940536359287</v>
      </c>
      <c r="H94" s="17">
        <f t="shared" si="5"/>
        <v>0</v>
      </c>
      <c r="I94" s="17">
        <v>1026.5940536359287</v>
      </c>
      <c r="J94" s="17">
        <v>0</v>
      </c>
      <c r="K94" s="17">
        <v>3421.9801787864294</v>
      </c>
      <c r="L94" s="17">
        <v>0</v>
      </c>
      <c r="M94" s="346">
        <v>0.3</v>
      </c>
      <c r="N94" s="17">
        <v>2</v>
      </c>
      <c r="O94" s="346">
        <v>0</v>
      </c>
      <c r="P94" s="17">
        <v>5</v>
      </c>
    </row>
    <row r="95" spans="1:16">
      <c r="A95" s="10" t="str">
        <f t="shared" ca="1" si="3"/>
        <v/>
      </c>
      <c r="B95" s="65" t="s">
        <v>276</v>
      </c>
      <c r="C95" s="350" t="s">
        <v>1985</v>
      </c>
      <c r="D95" s="10" t="s">
        <v>47</v>
      </c>
      <c r="E95" s="353" t="s">
        <v>557</v>
      </c>
      <c r="F95" s="352">
        <v>2</v>
      </c>
      <c r="G95" s="17">
        <f t="shared" si="4"/>
        <v>76.994554022694658</v>
      </c>
      <c r="H95" s="17">
        <f t="shared" si="5"/>
        <v>0</v>
      </c>
      <c r="I95" s="17">
        <v>76.994554022694658</v>
      </c>
      <c r="J95" s="17">
        <v>0</v>
      </c>
      <c r="K95" s="17">
        <v>855.49504469660735</v>
      </c>
      <c r="L95" s="17">
        <v>0</v>
      </c>
      <c r="M95" s="346">
        <v>0.3</v>
      </c>
      <c r="N95" s="17">
        <v>2</v>
      </c>
      <c r="O95" s="346">
        <v>0</v>
      </c>
      <c r="P95" s="17">
        <v>5</v>
      </c>
    </row>
    <row r="96" spans="1:16">
      <c r="A96" s="10" t="str">
        <f t="shared" ca="1" si="3"/>
        <v/>
      </c>
      <c r="B96" s="65" t="s">
        <v>276</v>
      </c>
      <c r="C96" s="350" t="s">
        <v>723</v>
      </c>
      <c r="D96" s="10" t="s">
        <v>47</v>
      </c>
      <c r="E96" s="353" t="s">
        <v>501</v>
      </c>
      <c r="F96" s="352">
        <v>2</v>
      </c>
      <c r="G96" s="17">
        <f t="shared" si="4"/>
        <v>307.97821609077863</v>
      </c>
      <c r="H96" s="17">
        <f t="shared" si="5"/>
        <v>0</v>
      </c>
      <c r="I96" s="17">
        <v>307.97821609077863</v>
      </c>
      <c r="J96" s="17">
        <v>0</v>
      </c>
      <c r="K96" s="17">
        <v>3421.9801787864294</v>
      </c>
      <c r="L96" s="17">
        <v>0</v>
      </c>
      <c r="M96" s="346">
        <v>0.3</v>
      </c>
      <c r="N96" s="17">
        <v>2</v>
      </c>
      <c r="O96" s="346">
        <v>0</v>
      </c>
      <c r="P96" s="17">
        <v>5</v>
      </c>
    </row>
    <row r="97" spans="1:16">
      <c r="A97" s="10" t="str">
        <f t="shared" ca="1" si="3"/>
        <v/>
      </c>
      <c r="B97" s="65" t="s">
        <v>276</v>
      </c>
      <c r="C97" s="350" t="s">
        <v>724</v>
      </c>
      <c r="D97" s="10" t="s">
        <v>47</v>
      </c>
      <c r="E97" s="353" t="s">
        <v>515</v>
      </c>
      <c r="F97" s="352">
        <v>2</v>
      </c>
      <c r="G97" s="17">
        <f t="shared" si="4"/>
        <v>230.98366206808393</v>
      </c>
      <c r="H97" s="17">
        <f t="shared" si="5"/>
        <v>0</v>
      </c>
      <c r="I97" s="17">
        <v>230.98366206808393</v>
      </c>
      <c r="J97" s="17">
        <v>0</v>
      </c>
      <c r="K97" s="17">
        <v>2566.4851340898217</v>
      </c>
      <c r="L97" s="17">
        <v>0</v>
      </c>
      <c r="M97" s="346">
        <v>0.3</v>
      </c>
      <c r="N97" s="17">
        <v>2</v>
      </c>
      <c r="O97" s="346">
        <v>0</v>
      </c>
      <c r="P97" s="17">
        <v>5</v>
      </c>
    </row>
    <row r="98" spans="1:16">
      <c r="A98" s="10" t="str">
        <f t="shared" ca="1" si="3"/>
        <v/>
      </c>
      <c r="B98" s="65" t="s">
        <v>276</v>
      </c>
      <c r="C98" s="350" t="s">
        <v>725</v>
      </c>
      <c r="D98" s="10" t="s">
        <v>47</v>
      </c>
      <c r="E98" s="353" t="s">
        <v>516</v>
      </c>
      <c r="F98" s="352">
        <v>2</v>
      </c>
      <c r="G98" s="17">
        <f t="shared" si="4"/>
        <v>153.98910804538932</v>
      </c>
      <c r="H98" s="17">
        <f t="shared" si="5"/>
        <v>0</v>
      </c>
      <c r="I98" s="17">
        <v>153.98910804538932</v>
      </c>
      <c r="J98" s="17">
        <v>0</v>
      </c>
      <c r="K98" s="17">
        <v>1710.9900893932147</v>
      </c>
      <c r="L98" s="17">
        <v>0</v>
      </c>
      <c r="M98" s="346">
        <v>0.3</v>
      </c>
      <c r="N98" s="17">
        <v>2</v>
      </c>
      <c r="O98" s="346">
        <v>0</v>
      </c>
      <c r="P98" s="17">
        <v>5</v>
      </c>
    </row>
    <row r="99" spans="1:16">
      <c r="A99" s="10" t="str">
        <f t="shared" ca="1" si="3"/>
        <v/>
      </c>
      <c r="B99" s="65" t="s">
        <v>276</v>
      </c>
      <c r="C99" s="350" t="s">
        <v>1986</v>
      </c>
      <c r="D99" s="10" t="s">
        <v>47</v>
      </c>
      <c r="E99" s="353" t="s">
        <v>495</v>
      </c>
      <c r="F99" s="352">
        <v>5</v>
      </c>
      <c r="G99" s="17">
        <f t="shared" si="4"/>
        <v>513.29702681796437</v>
      </c>
      <c r="H99" s="17">
        <f t="shared" si="5"/>
        <v>0</v>
      </c>
      <c r="I99" s="17">
        <v>513.29702681796437</v>
      </c>
      <c r="J99" s="17">
        <v>0</v>
      </c>
      <c r="K99" s="17">
        <v>1710.9900893932147</v>
      </c>
      <c r="L99" s="17">
        <v>0</v>
      </c>
      <c r="M99" s="346">
        <v>0.3</v>
      </c>
      <c r="N99" s="17">
        <v>2</v>
      </c>
      <c r="O99" s="346">
        <v>0</v>
      </c>
      <c r="P99" s="17">
        <v>5</v>
      </c>
    </row>
    <row r="100" spans="1:16">
      <c r="A100" s="10" t="str">
        <f t="shared" ca="1" si="3"/>
        <v/>
      </c>
      <c r="B100" s="65" t="s">
        <v>276</v>
      </c>
      <c r="C100" s="350" t="s">
        <v>2191</v>
      </c>
      <c r="D100" s="10" t="s">
        <v>47</v>
      </c>
      <c r="E100" s="353" t="s">
        <v>2176</v>
      </c>
      <c r="F100" s="352">
        <v>2</v>
      </c>
      <c r="G100" s="17">
        <f t="shared" si="4"/>
        <v>1077.9237563177251</v>
      </c>
      <c r="H100" s="17">
        <f t="shared" si="5"/>
        <v>0</v>
      </c>
      <c r="I100" s="17">
        <v>1077.9237563177251</v>
      </c>
      <c r="J100" s="17">
        <v>0</v>
      </c>
      <c r="K100" s="17">
        <v>11976.930625752502</v>
      </c>
      <c r="L100" s="17">
        <v>0</v>
      </c>
      <c r="M100" s="346">
        <v>0.3</v>
      </c>
      <c r="N100" s="17">
        <v>2</v>
      </c>
      <c r="O100" s="346">
        <v>0</v>
      </c>
      <c r="P100" s="17">
        <v>5</v>
      </c>
    </row>
    <row r="101" spans="1:16">
      <c r="A101" s="10">
        <f t="shared" ca="1" si="3"/>
        <v>101</v>
      </c>
      <c r="B101" s="65" t="s">
        <v>1934</v>
      </c>
      <c r="C101" s="350" t="s">
        <v>1987</v>
      </c>
      <c r="D101" s="10" t="s">
        <v>47</v>
      </c>
      <c r="E101" s="353" t="s">
        <v>498</v>
      </c>
      <c r="F101" s="352">
        <v>1</v>
      </c>
      <c r="G101" s="17">
        <f t="shared" si="4"/>
        <v>3.7800000000000002</v>
      </c>
      <c r="H101" s="17">
        <f t="shared" si="5"/>
        <v>0</v>
      </c>
      <c r="I101" s="17">
        <v>3.7800000000000002</v>
      </c>
      <c r="J101" s="17">
        <v>0</v>
      </c>
      <c r="K101" s="17">
        <v>12.600000000000001</v>
      </c>
      <c r="L101" s="17">
        <v>0</v>
      </c>
      <c r="M101" s="346">
        <v>0.3</v>
      </c>
      <c r="N101" s="17">
        <v>2</v>
      </c>
      <c r="O101" s="346">
        <v>0</v>
      </c>
      <c r="P101" s="17">
        <v>5</v>
      </c>
    </row>
    <row r="102" spans="1:16">
      <c r="A102" s="10">
        <f t="shared" ca="1" si="3"/>
        <v>115</v>
      </c>
      <c r="B102" s="65" t="s">
        <v>210</v>
      </c>
      <c r="C102" s="350" t="s">
        <v>1988</v>
      </c>
      <c r="D102" s="10" t="s">
        <v>46</v>
      </c>
      <c r="E102" s="353" t="s">
        <v>1989</v>
      </c>
      <c r="F102" s="352">
        <v>1</v>
      </c>
      <c r="G102" s="17">
        <f t="shared" si="4"/>
        <v>23.593455765243409</v>
      </c>
      <c r="H102" s="17">
        <f t="shared" si="5"/>
        <v>0</v>
      </c>
      <c r="I102" s="17">
        <v>23.593455765243409</v>
      </c>
      <c r="J102" s="17">
        <v>0</v>
      </c>
      <c r="K102" s="17">
        <v>78.644852550811365</v>
      </c>
      <c r="L102" s="17">
        <v>0</v>
      </c>
      <c r="M102" s="346">
        <v>0.3</v>
      </c>
      <c r="N102" s="17">
        <v>2</v>
      </c>
      <c r="O102" s="346">
        <v>0</v>
      </c>
      <c r="P102" s="17">
        <v>5</v>
      </c>
    </row>
    <row r="103" spans="1:16">
      <c r="A103" s="10" t="str">
        <f t="shared" ca="1" si="3"/>
        <v/>
      </c>
      <c r="B103" s="65" t="s">
        <v>210</v>
      </c>
      <c r="C103" s="350" t="s">
        <v>726</v>
      </c>
      <c r="D103" s="10" t="s">
        <v>46</v>
      </c>
      <c r="E103" s="353" t="s">
        <v>497</v>
      </c>
      <c r="F103" s="352">
        <v>1</v>
      </c>
      <c r="G103" s="17">
        <f t="shared" si="4"/>
        <v>23.593455765243409</v>
      </c>
      <c r="H103" s="17">
        <f t="shared" si="5"/>
        <v>0</v>
      </c>
      <c r="I103" s="17">
        <v>23.593455765243409</v>
      </c>
      <c r="J103" s="17">
        <v>0</v>
      </c>
      <c r="K103" s="17">
        <v>78.644852550811365</v>
      </c>
      <c r="L103" s="17">
        <v>0</v>
      </c>
      <c r="M103" s="346">
        <v>0.3</v>
      </c>
      <c r="N103" s="17">
        <v>2</v>
      </c>
      <c r="O103" s="346">
        <v>0</v>
      </c>
      <c r="P103" s="17">
        <v>5</v>
      </c>
    </row>
    <row r="104" spans="1:16">
      <c r="A104" s="10" t="str">
        <f t="shared" ca="1" si="3"/>
        <v/>
      </c>
      <c r="B104" s="65" t="s">
        <v>210</v>
      </c>
      <c r="C104" s="350" t="s">
        <v>727</v>
      </c>
      <c r="D104" s="10" t="s">
        <v>46</v>
      </c>
      <c r="E104" s="353" t="s">
        <v>518</v>
      </c>
      <c r="F104" s="352">
        <v>5</v>
      </c>
      <c r="G104" s="17">
        <f t="shared" si="4"/>
        <v>424.68220377438132</v>
      </c>
      <c r="H104" s="17">
        <f t="shared" si="5"/>
        <v>0</v>
      </c>
      <c r="I104" s="17">
        <v>424.68220377438132</v>
      </c>
      <c r="J104" s="17">
        <v>0</v>
      </c>
      <c r="K104" s="17">
        <v>1415.6073459146044</v>
      </c>
      <c r="L104" s="17">
        <v>0</v>
      </c>
      <c r="M104" s="346">
        <v>0.3</v>
      </c>
      <c r="N104" s="17">
        <v>2</v>
      </c>
      <c r="O104" s="346">
        <v>0</v>
      </c>
      <c r="P104" s="17">
        <v>5</v>
      </c>
    </row>
    <row r="105" spans="1:16">
      <c r="A105" s="10" t="str">
        <f t="shared" ca="1" si="3"/>
        <v/>
      </c>
      <c r="B105" s="65" t="s">
        <v>210</v>
      </c>
      <c r="C105" s="350" t="s">
        <v>728</v>
      </c>
      <c r="D105" s="10" t="s">
        <v>46</v>
      </c>
      <c r="E105" s="353" t="s">
        <v>519</v>
      </c>
      <c r="F105" s="352">
        <v>1</v>
      </c>
      <c r="G105" s="17">
        <f t="shared" si="4"/>
        <v>117.96727882621703</v>
      </c>
      <c r="H105" s="17">
        <f t="shared" si="5"/>
        <v>0</v>
      </c>
      <c r="I105" s="17">
        <v>117.96727882621703</v>
      </c>
      <c r="J105" s="17">
        <v>0</v>
      </c>
      <c r="K105" s="17">
        <v>393.22426275405678</v>
      </c>
      <c r="L105" s="17">
        <v>0</v>
      </c>
      <c r="M105" s="346">
        <v>0.3</v>
      </c>
      <c r="N105" s="17">
        <v>2</v>
      </c>
      <c r="O105" s="346">
        <v>0</v>
      </c>
      <c r="P105" s="17">
        <v>5</v>
      </c>
    </row>
    <row r="106" spans="1:16">
      <c r="A106" s="10" t="str">
        <f t="shared" ca="1" si="3"/>
        <v/>
      </c>
      <c r="B106" s="65" t="s">
        <v>210</v>
      </c>
      <c r="C106" s="350" t="s">
        <v>729</v>
      </c>
      <c r="D106" s="10" t="s">
        <v>46</v>
      </c>
      <c r="E106" s="353" t="s">
        <v>520</v>
      </c>
      <c r="F106" s="352">
        <v>1</v>
      </c>
      <c r="G106" s="17">
        <f t="shared" si="4"/>
        <v>47.186911530486817</v>
      </c>
      <c r="H106" s="17">
        <f t="shared" si="5"/>
        <v>0</v>
      </c>
      <c r="I106" s="17">
        <v>47.186911530486817</v>
      </c>
      <c r="J106" s="17">
        <v>0</v>
      </c>
      <c r="K106" s="17">
        <v>157.28970510162273</v>
      </c>
      <c r="L106" s="17">
        <v>0</v>
      </c>
      <c r="M106" s="346">
        <v>0.3</v>
      </c>
      <c r="N106" s="17">
        <v>2</v>
      </c>
      <c r="O106" s="346">
        <v>0</v>
      </c>
      <c r="P106" s="17">
        <v>5</v>
      </c>
    </row>
    <row r="107" spans="1:16">
      <c r="A107" s="10" t="str">
        <f t="shared" ca="1" si="3"/>
        <v/>
      </c>
      <c r="B107" s="65" t="s">
        <v>210</v>
      </c>
      <c r="C107" s="350" t="s">
        <v>1990</v>
      </c>
      <c r="D107" s="10" t="s">
        <v>46</v>
      </c>
      <c r="E107" s="353" t="s">
        <v>521</v>
      </c>
      <c r="F107" s="352">
        <v>3</v>
      </c>
      <c r="G107" s="17">
        <f t="shared" si="4"/>
        <v>94.373823060973635</v>
      </c>
      <c r="H107" s="17">
        <f t="shared" si="5"/>
        <v>0</v>
      </c>
      <c r="I107" s="17">
        <v>94.373823060973635</v>
      </c>
      <c r="J107" s="17">
        <v>0</v>
      </c>
      <c r="K107" s="17">
        <v>314.57941020324546</v>
      </c>
      <c r="L107" s="17">
        <v>0</v>
      </c>
      <c r="M107" s="346">
        <v>0.3</v>
      </c>
      <c r="N107" s="17">
        <v>2</v>
      </c>
      <c r="O107" s="346">
        <v>0</v>
      </c>
      <c r="P107" s="17">
        <v>5</v>
      </c>
    </row>
    <row r="108" spans="1:16">
      <c r="A108" s="10" t="str">
        <f t="shared" ca="1" si="3"/>
        <v/>
      </c>
      <c r="B108" s="65" t="s">
        <v>210</v>
      </c>
      <c r="C108" s="350" t="s">
        <v>730</v>
      </c>
      <c r="D108" s="10" t="s">
        <v>46</v>
      </c>
      <c r="E108" s="353" t="s">
        <v>522</v>
      </c>
      <c r="F108" s="352">
        <v>7</v>
      </c>
      <c r="G108" s="17">
        <f t="shared" si="4"/>
        <v>47.186911530486817</v>
      </c>
      <c r="H108" s="17">
        <f t="shared" si="5"/>
        <v>0</v>
      </c>
      <c r="I108" s="17">
        <v>47.186911530486817</v>
      </c>
      <c r="J108" s="17">
        <v>0</v>
      </c>
      <c r="K108" s="17">
        <v>157.28970510162273</v>
      </c>
      <c r="L108" s="17">
        <v>0</v>
      </c>
      <c r="M108" s="346">
        <v>0.3</v>
      </c>
      <c r="N108" s="17">
        <v>2</v>
      </c>
      <c r="O108" s="346">
        <v>0</v>
      </c>
      <c r="P108" s="17">
        <v>5</v>
      </c>
    </row>
    <row r="109" spans="1:16">
      <c r="A109" s="10" t="str">
        <f t="shared" ca="1" si="3"/>
        <v/>
      </c>
      <c r="B109" s="65" t="s">
        <v>210</v>
      </c>
      <c r="C109" s="350" t="s">
        <v>2192</v>
      </c>
      <c r="D109" s="10" t="s">
        <v>46</v>
      </c>
      <c r="E109" s="353" t="s">
        <v>2193</v>
      </c>
      <c r="F109" s="352">
        <v>1</v>
      </c>
      <c r="G109" s="17">
        <f t="shared" si="4"/>
        <v>117.96727882621703</v>
      </c>
      <c r="H109" s="17">
        <f t="shared" si="5"/>
        <v>0</v>
      </c>
      <c r="I109" s="17">
        <v>117.96727882621703</v>
      </c>
      <c r="J109" s="17">
        <v>0</v>
      </c>
      <c r="K109" s="17">
        <v>393.22426275405678</v>
      </c>
      <c r="L109" s="17">
        <v>0</v>
      </c>
      <c r="M109" s="346">
        <v>0.3</v>
      </c>
      <c r="N109" s="17">
        <v>2</v>
      </c>
      <c r="O109" s="346">
        <v>0</v>
      </c>
      <c r="P109" s="17">
        <v>5</v>
      </c>
    </row>
    <row r="110" spans="1:16">
      <c r="A110" s="10" t="str">
        <f t="shared" ca="1" si="3"/>
        <v/>
      </c>
      <c r="B110" s="65" t="s">
        <v>210</v>
      </c>
      <c r="C110" s="350" t="s">
        <v>731</v>
      </c>
      <c r="D110" s="10" t="s">
        <v>46</v>
      </c>
      <c r="E110" s="353" t="s">
        <v>523</v>
      </c>
      <c r="F110" s="352">
        <v>1</v>
      </c>
      <c r="G110" s="17">
        <f t="shared" si="4"/>
        <v>47.186911530486817</v>
      </c>
      <c r="H110" s="17">
        <f t="shared" si="5"/>
        <v>0</v>
      </c>
      <c r="I110" s="17">
        <v>47.186911530486817</v>
      </c>
      <c r="J110" s="17">
        <v>0</v>
      </c>
      <c r="K110" s="17">
        <v>157.28970510162273</v>
      </c>
      <c r="L110" s="17">
        <v>0</v>
      </c>
      <c r="M110" s="346">
        <v>0.3</v>
      </c>
      <c r="N110" s="17">
        <v>2</v>
      </c>
      <c r="O110" s="346">
        <v>0</v>
      </c>
      <c r="P110" s="17">
        <v>5</v>
      </c>
    </row>
    <row r="111" spans="1:16">
      <c r="A111" s="10" t="str">
        <f t="shared" ca="1" si="3"/>
        <v/>
      </c>
      <c r="B111" s="65" t="s">
        <v>210</v>
      </c>
      <c r="C111" s="350" t="s">
        <v>732</v>
      </c>
      <c r="D111" s="10" t="s">
        <v>46</v>
      </c>
      <c r="E111" s="353" t="s">
        <v>524</v>
      </c>
      <c r="F111" s="352">
        <v>1</v>
      </c>
      <c r="G111" s="17">
        <f t="shared" si="4"/>
        <v>47.186911530486817</v>
      </c>
      <c r="H111" s="17">
        <f t="shared" si="5"/>
        <v>0</v>
      </c>
      <c r="I111" s="17">
        <v>47.186911530486817</v>
      </c>
      <c r="J111" s="17">
        <v>0</v>
      </c>
      <c r="K111" s="17">
        <v>157.28970510162273</v>
      </c>
      <c r="L111" s="17">
        <v>0</v>
      </c>
      <c r="M111" s="346">
        <v>0.3</v>
      </c>
      <c r="N111" s="17">
        <v>2</v>
      </c>
      <c r="O111" s="346">
        <v>0</v>
      </c>
      <c r="P111" s="17">
        <v>5</v>
      </c>
    </row>
    <row r="112" spans="1:16">
      <c r="A112" s="10" t="str">
        <f t="shared" ca="1" si="3"/>
        <v/>
      </c>
      <c r="B112" s="65" t="s">
        <v>210</v>
      </c>
      <c r="C112" s="350" t="s">
        <v>1991</v>
      </c>
      <c r="D112" s="10" t="s">
        <v>46</v>
      </c>
      <c r="E112" s="353" t="s">
        <v>528</v>
      </c>
      <c r="F112" s="352">
        <v>1</v>
      </c>
      <c r="G112" s="17">
        <f t="shared" si="4"/>
        <v>14.156073459146043</v>
      </c>
      <c r="H112" s="17">
        <f t="shared" si="5"/>
        <v>0</v>
      </c>
      <c r="I112" s="17">
        <v>14.156073459146043</v>
      </c>
      <c r="J112" s="17">
        <v>0</v>
      </c>
      <c r="K112" s="17">
        <v>47.18691153048681</v>
      </c>
      <c r="L112" s="17">
        <v>0</v>
      </c>
      <c r="M112" s="346">
        <v>0.3</v>
      </c>
      <c r="N112" s="17">
        <v>2</v>
      </c>
      <c r="O112" s="346">
        <v>0</v>
      </c>
      <c r="P112" s="17">
        <v>5</v>
      </c>
    </row>
    <row r="113" spans="1:16">
      <c r="A113" s="10" t="str">
        <f t="shared" ca="1" si="3"/>
        <v/>
      </c>
      <c r="B113" s="65" t="s">
        <v>210</v>
      </c>
      <c r="C113" s="350" t="s">
        <v>733</v>
      </c>
      <c r="D113" s="10" t="s">
        <v>46</v>
      </c>
      <c r="E113" s="353" t="s">
        <v>525</v>
      </c>
      <c r="F113" s="352">
        <v>2</v>
      </c>
      <c r="G113" s="17">
        <f t="shared" si="4"/>
        <v>2.8312146918292087</v>
      </c>
      <c r="H113" s="17">
        <f t="shared" si="5"/>
        <v>0</v>
      </c>
      <c r="I113" s="17">
        <v>2.8312146918292087</v>
      </c>
      <c r="J113" s="17">
        <v>0</v>
      </c>
      <c r="K113" s="17">
        <v>31.457941020324544</v>
      </c>
      <c r="L113" s="17">
        <v>0</v>
      </c>
      <c r="M113" s="346">
        <v>0.3</v>
      </c>
      <c r="N113" s="17">
        <v>2</v>
      </c>
      <c r="O113" s="346">
        <v>0</v>
      </c>
      <c r="P113" s="17">
        <v>5</v>
      </c>
    </row>
    <row r="114" spans="1:16">
      <c r="A114" s="10" t="str">
        <f t="shared" ca="1" si="3"/>
        <v/>
      </c>
      <c r="B114" s="65" t="s">
        <v>210</v>
      </c>
      <c r="C114" s="350" t="s">
        <v>1992</v>
      </c>
      <c r="D114" s="10" t="s">
        <v>46</v>
      </c>
      <c r="E114" s="353" t="s">
        <v>563</v>
      </c>
      <c r="F114" s="352">
        <v>1</v>
      </c>
      <c r="G114" s="17">
        <f t="shared" si="4"/>
        <v>4.718691153048681</v>
      </c>
      <c r="H114" s="17">
        <f t="shared" si="5"/>
        <v>0</v>
      </c>
      <c r="I114" s="17">
        <v>4.718691153048681</v>
      </c>
      <c r="J114" s="17">
        <v>0</v>
      </c>
      <c r="K114" s="17">
        <v>15.728970510162272</v>
      </c>
      <c r="L114" s="17">
        <v>0</v>
      </c>
      <c r="M114" s="346">
        <v>0.3</v>
      </c>
      <c r="N114" s="17">
        <v>2</v>
      </c>
      <c r="O114" s="346">
        <v>0</v>
      </c>
      <c r="P114" s="17">
        <v>5</v>
      </c>
    </row>
    <row r="115" spans="1:16">
      <c r="A115" s="10" t="str">
        <f t="shared" ca="1" si="3"/>
        <v/>
      </c>
      <c r="B115" s="65" t="s">
        <v>210</v>
      </c>
      <c r="C115" s="350" t="s">
        <v>2194</v>
      </c>
      <c r="D115" s="10" t="s">
        <v>46</v>
      </c>
      <c r="E115" s="353" t="s">
        <v>2011</v>
      </c>
      <c r="F115" s="352">
        <v>1</v>
      </c>
      <c r="G115" s="17">
        <f t="shared" si="4"/>
        <v>212.34110188719066</v>
      </c>
      <c r="H115" s="17">
        <f t="shared" si="5"/>
        <v>0</v>
      </c>
      <c r="I115" s="17">
        <v>212.34110188719066</v>
      </c>
      <c r="J115" s="17">
        <v>0</v>
      </c>
      <c r="K115" s="17">
        <v>707.80367295730218</v>
      </c>
      <c r="L115" s="17">
        <v>0</v>
      </c>
      <c r="M115" s="346">
        <v>0.3</v>
      </c>
      <c r="N115" s="17">
        <v>2</v>
      </c>
      <c r="O115" s="346">
        <v>0</v>
      </c>
      <c r="P115" s="17">
        <v>5</v>
      </c>
    </row>
    <row r="116" spans="1:16">
      <c r="A116" s="10">
        <f t="shared" ca="1" si="3"/>
        <v>129</v>
      </c>
      <c r="B116" s="65" t="s">
        <v>217</v>
      </c>
      <c r="C116" s="350" t="s">
        <v>734</v>
      </c>
      <c r="D116" s="10" t="s">
        <v>46</v>
      </c>
      <c r="E116" s="353" t="s">
        <v>497</v>
      </c>
      <c r="F116" s="352">
        <v>5</v>
      </c>
      <c r="G116" s="17">
        <f t="shared" si="4"/>
        <v>156.15608936969252</v>
      </c>
      <c r="H116" s="17">
        <f t="shared" si="5"/>
        <v>0</v>
      </c>
      <c r="I116" s="17">
        <v>156.15608936969252</v>
      </c>
      <c r="J116" s="17">
        <v>0</v>
      </c>
      <c r="K116" s="17">
        <v>520.52029789897506</v>
      </c>
      <c r="L116" s="17">
        <v>0</v>
      </c>
      <c r="M116" s="346">
        <v>0.3</v>
      </c>
      <c r="N116" s="17">
        <v>2</v>
      </c>
      <c r="O116" s="346">
        <v>0</v>
      </c>
      <c r="P116" s="17">
        <v>5</v>
      </c>
    </row>
    <row r="117" spans="1:16">
      <c r="A117" s="10" t="str">
        <f t="shared" ca="1" si="3"/>
        <v/>
      </c>
      <c r="B117" s="65" t="s">
        <v>217</v>
      </c>
      <c r="C117" s="350" t="s">
        <v>735</v>
      </c>
      <c r="D117" s="10" t="s">
        <v>46</v>
      </c>
      <c r="E117" s="353" t="s">
        <v>518</v>
      </c>
      <c r="F117" s="352">
        <v>1</v>
      </c>
      <c r="G117" s="17">
        <f t="shared" si="4"/>
        <v>46.846826810907757</v>
      </c>
      <c r="H117" s="17">
        <f t="shared" si="5"/>
        <v>0</v>
      </c>
      <c r="I117" s="17">
        <v>46.846826810907757</v>
      </c>
      <c r="J117" s="17">
        <v>0</v>
      </c>
      <c r="K117" s="17">
        <v>520.52029789897506</v>
      </c>
      <c r="L117" s="17">
        <v>0</v>
      </c>
      <c r="M117" s="346">
        <v>0.3</v>
      </c>
      <c r="N117" s="17">
        <v>2</v>
      </c>
      <c r="O117" s="346">
        <v>0</v>
      </c>
      <c r="P117" s="17">
        <v>5</v>
      </c>
    </row>
    <row r="118" spans="1:16">
      <c r="A118" s="10" t="str">
        <f t="shared" ca="1" si="3"/>
        <v/>
      </c>
      <c r="B118" s="65" t="s">
        <v>217</v>
      </c>
      <c r="C118" s="350" t="s">
        <v>736</v>
      </c>
      <c r="D118" s="10" t="s">
        <v>46</v>
      </c>
      <c r="E118" s="353" t="s">
        <v>526</v>
      </c>
      <c r="F118" s="352">
        <v>1</v>
      </c>
      <c r="G118" s="17">
        <f t="shared" si="4"/>
        <v>156.15608936969252</v>
      </c>
      <c r="H118" s="17">
        <f t="shared" si="5"/>
        <v>0</v>
      </c>
      <c r="I118" s="17">
        <v>156.15608936969252</v>
      </c>
      <c r="J118" s="17">
        <v>0</v>
      </c>
      <c r="K118" s="17">
        <v>520.52029789897506</v>
      </c>
      <c r="L118" s="17">
        <v>0</v>
      </c>
      <c r="M118" s="346">
        <v>0.3</v>
      </c>
      <c r="N118" s="17">
        <v>2</v>
      </c>
      <c r="O118" s="346">
        <v>0</v>
      </c>
      <c r="P118" s="17">
        <v>5</v>
      </c>
    </row>
    <row r="119" spans="1:16">
      <c r="A119" s="10" t="str">
        <f t="shared" ca="1" si="3"/>
        <v/>
      </c>
      <c r="B119" s="65" t="s">
        <v>217</v>
      </c>
      <c r="C119" s="350" t="s">
        <v>2195</v>
      </c>
      <c r="D119" s="10" t="s">
        <v>46</v>
      </c>
      <c r="E119" s="353" t="s">
        <v>2196</v>
      </c>
      <c r="F119" s="352">
        <v>1</v>
      </c>
      <c r="G119" s="17">
        <f t="shared" si="4"/>
        <v>2654.6535192847728</v>
      </c>
      <c r="H119" s="17">
        <f t="shared" si="5"/>
        <v>0</v>
      </c>
      <c r="I119" s="17">
        <v>2654.6535192847728</v>
      </c>
      <c r="J119" s="17">
        <v>0</v>
      </c>
      <c r="K119" s="17">
        <v>8848.8450642825755</v>
      </c>
      <c r="L119" s="17">
        <v>0</v>
      </c>
      <c r="M119" s="346">
        <v>0.3</v>
      </c>
      <c r="N119" s="17">
        <v>2</v>
      </c>
      <c r="O119" s="346">
        <v>0</v>
      </c>
      <c r="P119" s="17">
        <v>5</v>
      </c>
    </row>
    <row r="120" spans="1:16">
      <c r="A120" s="10" t="str">
        <f t="shared" ca="1" si="3"/>
        <v/>
      </c>
      <c r="B120" s="65" t="s">
        <v>217</v>
      </c>
      <c r="C120" s="350" t="s">
        <v>1993</v>
      </c>
      <c r="D120" s="10" t="s">
        <v>46</v>
      </c>
      <c r="E120" s="353" t="s">
        <v>1994</v>
      </c>
      <c r="F120" s="352">
        <v>1</v>
      </c>
      <c r="G120" s="17">
        <f t="shared" si="4"/>
        <v>156.15608936969252</v>
      </c>
      <c r="H120" s="17">
        <f t="shared" si="5"/>
        <v>0</v>
      </c>
      <c r="I120" s="17">
        <v>156.15608936969252</v>
      </c>
      <c r="J120" s="17">
        <v>0</v>
      </c>
      <c r="K120" s="17">
        <v>520.52029789897506</v>
      </c>
      <c r="L120" s="17">
        <v>0</v>
      </c>
      <c r="M120" s="346">
        <v>0.3</v>
      </c>
      <c r="N120" s="17">
        <v>2</v>
      </c>
      <c r="O120" s="346">
        <v>0</v>
      </c>
      <c r="P120" s="17">
        <v>5</v>
      </c>
    </row>
    <row r="121" spans="1:16">
      <c r="A121" s="10" t="str">
        <f t="shared" ca="1" si="3"/>
        <v/>
      </c>
      <c r="B121" s="65" t="s">
        <v>217</v>
      </c>
      <c r="C121" s="350" t="s">
        <v>737</v>
      </c>
      <c r="D121" s="10" t="s">
        <v>46</v>
      </c>
      <c r="E121" s="353" t="s">
        <v>529</v>
      </c>
      <c r="F121" s="352">
        <v>1</v>
      </c>
      <c r="G121" s="17">
        <f t="shared" si="4"/>
        <v>156.15608936969252</v>
      </c>
      <c r="H121" s="17">
        <f t="shared" si="5"/>
        <v>0</v>
      </c>
      <c r="I121" s="17">
        <v>156.15608936969252</v>
      </c>
      <c r="J121" s="17">
        <v>0</v>
      </c>
      <c r="K121" s="17">
        <v>520.52029789897506</v>
      </c>
      <c r="L121" s="17">
        <v>0</v>
      </c>
      <c r="M121" s="346">
        <v>0.3</v>
      </c>
      <c r="N121" s="17">
        <v>2</v>
      </c>
      <c r="O121" s="346">
        <v>0</v>
      </c>
      <c r="P121" s="17">
        <v>5</v>
      </c>
    </row>
    <row r="122" spans="1:16">
      <c r="A122" s="10" t="str">
        <f t="shared" ca="1" si="3"/>
        <v/>
      </c>
      <c r="B122" s="65" t="s">
        <v>217</v>
      </c>
      <c r="C122" s="350" t="s">
        <v>1995</v>
      </c>
      <c r="D122" s="10" t="s">
        <v>46</v>
      </c>
      <c r="E122" s="353" t="s">
        <v>507</v>
      </c>
      <c r="F122" s="352">
        <v>1</v>
      </c>
      <c r="G122" s="17">
        <f t="shared" si="4"/>
        <v>156.15608936969252</v>
      </c>
      <c r="H122" s="17">
        <f t="shared" si="5"/>
        <v>0</v>
      </c>
      <c r="I122" s="17">
        <v>156.15608936969252</v>
      </c>
      <c r="J122" s="17">
        <v>0</v>
      </c>
      <c r="K122" s="17">
        <v>520.52029789897506</v>
      </c>
      <c r="L122" s="17">
        <v>0</v>
      </c>
      <c r="M122" s="346">
        <v>0.3</v>
      </c>
      <c r="N122" s="17">
        <v>2</v>
      </c>
      <c r="O122" s="346">
        <v>0</v>
      </c>
      <c r="P122" s="17">
        <v>5</v>
      </c>
    </row>
    <row r="123" spans="1:16">
      <c r="A123" s="10" t="str">
        <f t="shared" ca="1" si="3"/>
        <v/>
      </c>
      <c r="B123" s="65" t="s">
        <v>217</v>
      </c>
      <c r="C123" s="350" t="s">
        <v>738</v>
      </c>
      <c r="D123" s="10" t="s">
        <v>46</v>
      </c>
      <c r="E123" s="353" t="s">
        <v>510</v>
      </c>
      <c r="F123" s="352">
        <v>4</v>
      </c>
      <c r="G123" s="17">
        <f t="shared" si="4"/>
        <v>156.15608936969252</v>
      </c>
      <c r="H123" s="17">
        <f t="shared" si="5"/>
        <v>0</v>
      </c>
      <c r="I123" s="17">
        <v>156.15608936969252</v>
      </c>
      <c r="J123" s="17">
        <v>0</v>
      </c>
      <c r="K123" s="17">
        <v>520.52029789897506</v>
      </c>
      <c r="L123" s="17">
        <v>0</v>
      </c>
      <c r="M123" s="346">
        <v>0.3</v>
      </c>
      <c r="N123" s="17">
        <v>2</v>
      </c>
      <c r="O123" s="346">
        <v>0</v>
      </c>
      <c r="P123" s="17">
        <v>5</v>
      </c>
    </row>
    <row r="124" spans="1:16">
      <c r="A124" s="10" t="str">
        <f t="shared" ca="1" si="3"/>
        <v/>
      </c>
      <c r="B124" s="65" t="s">
        <v>217</v>
      </c>
      <c r="C124" s="350" t="s">
        <v>739</v>
      </c>
      <c r="D124" s="10" t="s">
        <v>46</v>
      </c>
      <c r="E124" s="353" t="s">
        <v>502</v>
      </c>
      <c r="F124" s="352">
        <v>2</v>
      </c>
      <c r="G124" s="17">
        <f t="shared" si="4"/>
        <v>46.846826810907757</v>
      </c>
      <c r="H124" s="17">
        <f t="shared" si="5"/>
        <v>0</v>
      </c>
      <c r="I124" s="17">
        <v>46.846826810907757</v>
      </c>
      <c r="J124" s="17">
        <v>0</v>
      </c>
      <c r="K124" s="17">
        <v>520.52029789897506</v>
      </c>
      <c r="L124" s="17">
        <v>0</v>
      </c>
      <c r="M124" s="346">
        <v>0.3</v>
      </c>
      <c r="N124" s="17">
        <v>2</v>
      </c>
      <c r="O124" s="346">
        <v>0</v>
      </c>
      <c r="P124" s="17">
        <v>5</v>
      </c>
    </row>
    <row r="125" spans="1:16">
      <c r="A125" s="10" t="str">
        <f t="shared" ca="1" si="3"/>
        <v/>
      </c>
      <c r="B125" s="65" t="s">
        <v>217</v>
      </c>
      <c r="C125" s="350" t="s">
        <v>740</v>
      </c>
      <c r="D125" s="10" t="s">
        <v>46</v>
      </c>
      <c r="E125" s="353" t="s">
        <v>503</v>
      </c>
      <c r="F125" s="352">
        <v>2</v>
      </c>
      <c r="G125" s="17">
        <f t="shared" si="4"/>
        <v>46.846826810907757</v>
      </c>
      <c r="H125" s="17">
        <f t="shared" si="5"/>
        <v>0</v>
      </c>
      <c r="I125" s="17">
        <v>46.846826810907757</v>
      </c>
      <c r="J125" s="17">
        <v>0</v>
      </c>
      <c r="K125" s="17">
        <v>520.52029789897506</v>
      </c>
      <c r="L125" s="17">
        <v>0</v>
      </c>
      <c r="M125" s="346">
        <v>0.3</v>
      </c>
      <c r="N125" s="17">
        <v>2</v>
      </c>
      <c r="O125" s="346">
        <v>0</v>
      </c>
      <c r="P125" s="17">
        <v>5</v>
      </c>
    </row>
    <row r="126" spans="1:16">
      <c r="A126" s="10" t="str">
        <f t="shared" ca="1" si="3"/>
        <v/>
      </c>
      <c r="B126" s="65" t="s">
        <v>217</v>
      </c>
      <c r="C126" s="350" t="s">
        <v>741</v>
      </c>
      <c r="D126" s="10" t="s">
        <v>46</v>
      </c>
      <c r="E126" s="353" t="s">
        <v>506</v>
      </c>
      <c r="F126" s="352">
        <v>2</v>
      </c>
      <c r="G126" s="17">
        <f t="shared" si="4"/>
        <v>46.846826810907757</v>
      </c>
      <c r="H126" s="17">
        <f t="shared" si="5"/>
        <v>0</v>
      </c>
      <c r="I126" s="17">
        <v>46.846826810907757</v>
      </c>
      <c r="J126" s="17">
        <v>0</v>
      </c>
      <c r="K126" s="17">
        <v>520.52029789897506</v>
      </c>
      <c r="L126" s="17">
        <v>0</v>
      </c>
      <c r="M126" s="346">
        <v>0.3</v>
      </c>
      <c r="N126" s="17">
        <v>2</v>
      </c>
      <c r="O126" s="346">
        <v>0</v>
      </c>
      <c r="P126" s="17">
        <v>5</v>
      </c>
    </row>
    <row r="127" spans="1:16">
      <c r="A127" s="10" t="str">
        <f t="shared" ca="1" si="3"/>
        <v/>
      </c>
      <c r="B127" s="65" t="s">
        <v>217</v>
      </c>
      <c r="C127" s="350" t="s">
        <v>1996</v>
      </c>
      <c r="D127" s="10" t="s">
        <v>46</v>
      </c>
      <c r="E127" s="353" t="s">
        <v>1997</v>
      </c>
      <c r="F127" s="352">
        <v>2</v>
      </c>
      <c r="G127" s="17">
        <f t="shared" si="4"/>
        <v>46.846826810907757</v>
      </c>
      <c r="H127" s="17">
        <f t="shared" si="5"/>
        <v>0</v>
      </c>
      <c r="I127" s="17">
        <v>46.846826810907757</v>
      </c>
      <c r="J127" s="17">
        <v>0</v>
      </c>
      <c r="K127" s="17">
        <v>520.52029789897506</v>
      </c>
      <c r="L127" s="17">
        <v>0</v>
      </c>
      <c r="M127" s="346">
        <v>0.3</v>
      </c>
      <c r="N127" s="17">
        <v>2</v>
      </c>
      <c r="O127" s="346">
        <v>0</v>
      </c>
      <c r="P127" s="17">
        <v>5</v>
      </c>
    </row>
    <row r="128" spans="1:16">
      <c r="A128" s="10" t="str">
        <f t="shared" ca="1" si="3"/>
        <v/>
      </c>
      <c r="B128" s="65" t="s">
        <v>217</v>
      </c>
      <c r="C128" s="350" t="s">
        <v>742</v>
      </c>
      <c r="D128" s="10" t="s">
        <v>46</v>
      </c>
      <c r="E128" s="353" t="s">
        <v>512</v>
      </c>
      <c r="F128" s="352">
        <v>2</v>
      </c>
      <c r="G128" s="17">
        <f t="shared" si="4"/>
        <v>46.846826810907757</v>
      </c>
      <c r="H128" s="17">
        <f t="shared" si="5"/>
        <v>0</v>
      </c>
      <c r="I128" s="17">
        <v>46.846826810907757</v>
      </c>
      <c r="J128" s="17">
        <v>0</v>
      </c>
      <c r="K128" s="17">
        <v>520.52029789897506</v>
      </c>
      <c r="L128" s="17">
        <v>0</v>
      </c>
      <c r="M128" s="346">
        <v>0.3</v>
      </c>
      <c r="N128" s="17">
        <v>2</v>
      </c>
      <c r="O128" s="346">
        <v>0</v>
      </c>
      <c r="P128" s="17">
        <v>5</v>
      </c>
    </row>
    <row r="129" spans="1:16">
      <c r="A129" s="10" t="str">
        <f t="shared" ca="1" si="3"/>
        <v/>
      </c>
      <c r="B129" s="65" t="s">
        <v>217</v>
      </c>
      <c r="C129" s="350" t="s">
        <v>1998</v>
      </c>
      <c r="D129" s="10" t="s">
        <v>46</v>
      </c>
      <c r="E129" s="353" t="s">
        <v>1999</v>
      </c>
      <c r="F129" s="352">
        <v>2</v>
      </c>
      <c r="G129" s="17">
        <f t="shared" si="4"/>
        <v>46.846826810907757</v>
      </c>
      <c r="H129" s="17">
        <f t="shared" si="5"/>
        <v>0</v>
      </c>
      <c r="I129" s="17">
        <v>46.846826810907757</v>
      </c>
      <c r="J129" s="17">
        <v>0</v>
      </c>
      <c r="K129" s="17">
        <v>520.52029789897506</v>
      </c>
      <c r="L129" s="17">
        <v>0</v>
      </c>
      <c r="M129" s="346">
        <v>0.3</v>
      </c>
      <c r="N129" s="17">
        <v>2</v>
      </c>
      <c r="O129" s="346">
        <v>0</v>
      </c>
      <c r="P129" s="17">
        <v>5</v>
      </c>
    </row>
    <row r="130" spans="1:16">
      <c r="A130" s="10">
        <f t="shared" ref="A130:A193" ca="1" si="6">IF(B129=B130,"",ROW(A130)-1+MATCH(B130,INDIRECT("B"&amp;ROW(A130)&amp;":"&amp;"B"&amp;$A$1),1))</f>
        <v>138</v>
      </c>
      <c r="B130" s="65" t="s">
        <v>226</v>
      </c>
      <c r="C130" s="350" t="s">
        <v>743</v>
      </c>
      <c r="D130" s="10" t="s">
        <v>46</v>
      </c>
      <c r="E130" s="353" t="s">
        <v>518</v>
      </c>
      <c r="F130" s="352">
        <v>5</v>
      </c>
      <c r="G130" s="17">
        <f t="shared" ref="G130:G193" si="7">IF($R$2=1,K130,I130)</f>
        <v>568.9916487386389</v>
      </c>
      <c r="H130" s="17">
        <f t="shared" ref="H130:H193" si="8">IF($R$2=1,L130,J130)</f>
        <v>0</v>
      </c>
      <c r="I130" s="17">
        <v>568.9916487386389</v>
      </c>
      <c r="J130" s="17">
        <v>0</v>
      </c>
      <c r="K130" s="17">
        <v>1896.6388291287963</v>
      </c>
      <c r="L130" s="17">
        <v>0</v>
      </c>
      <c r="M130" s="346">
        <v>0.3</v>
      </c>
      <c r="N130" s="17">
        <v>2</v>
      </c>
      <c r="O130" s="346">
        <v>0</v>
      </c>
      <c r="P130" s="17">
        <v>5</v>
      </c>
    </row>
    <row r="131" spans="1:16">
      <c r="A131" s="10" t="str">
        <f t="shared" ca="1" si="6"/>
        <v/>
      </c>
      <c r="B131" s="65" t="s">
        <v>226</v>
      </c>
      <c r="C131" s="350" t="s">
        <v>2197</v>
      </c>
      <c r="D131" s="10" t="s">
        <v>46</v>
      </c>
      <c r="E131" s="353" t="s">
        <v>2198</v>
      </c>
      <c r="F131" s="352">
        <v>1</v>
      </c>
      <c r="G131" s="17">
        <f t="shared" si="7"/>
        <v>63.22129430429321</v>
      </c>
      <c r="H131" s="17">
        <f t="shared" si="8"/>
        <v>0</v>
      </c>
      <c r="I131" s="17">
        <v>63.22129430429321</v>
      </c>
      <c r="J131" s="17">
        <v>0</v>
      </c>
      <c r="K131" s="17">
        <v>210.73764768097737</v>
      </c>
      <c r="L131" s="17">
        <v>0</v>
      </c>
      <c r="M131" s="346">
        <v>0.3</v>
      </c>
      <c r="N131" s="17">
        <v>2</v>
      </c>
      <c r="O131" s="346">
        <v>0</v>
      </c>
      <c r="P131" s="17">
        <v>5</v>
      </c>
    </row>
    <row r="132" spans="1:16">
      <c r="A132" s="10" t="str">
        <f t="shared" ca="1" si="6"/>
        <v/>
      </c>
      <c r="B132" s="65" t="s">
        <v>226</v>
      </c>
      <c r="C132" s="350" t="s">
        <v>744</v>
      </c>
      <c r="D132" s="10" t="s">
        <v>46</v>
      </c>
      <c r="E132" s="353" t="s">
        <v>519</v>
      </c>
      <c r="F132" s="352">
        <v>1</v>
      </c>
      <c r="G132" s="17">
        <f t="shared" si="7"/>
        <v>63.22129430429321</v>
      </c>
      <c r="H132" s="17">
        <f t="shared" si="8"/>
        <v>0</v>
      </c>
      <c r="I132" s="17">
        <v>63.22129430429321</v>
      </c>
      <c r="J132" s="17">
        <v>0</v>
      </c>
      <c r="K132" s="17">
        <v>210.73764768097737</v>
      </c>
      <c r="L132" s="17">
        <v>0</v>
      </c>
      <c r="M132" s="346">
        <v>0.3</v>
      </c>
      <c r="N132" s="17">
        <v>2</v>
      </c>
      <c r="O132" s="346">
        <v>0</v>
      </c>
      <c r="P132" s="17">
        <v>5</v>
      </c>
    </row>
    <row r="133" spans="1:16">
      <c r="A133" s="10" t="str">
        <f t="shared" ca="1" si="6"/>
        <v/>
      </c>
      <c r="B133" s="65" t="s">
        <v>226</v>
      </c>
      <c r="C133" s="350" t="s">
        <v>745</v>
      </c>
      <c r="D133" s="10" t="s">
        <v>46</v>
      </c>
      <c r="E133" s="353" t="s">
        <v>520</v>
      </c>
      <c r="F133" s="352">
        <v>3</v>
      </c>
      <c r="G133" s="17">
        <f t="shared" si="7"/>
        <v>63.22129430429321</v>
      </c>
      <c r="H133" s="17">
        <f t="shared" si="8"/>
        <v>0</v>
      </c>
      <c r="I133" s="17">
        <v>63.22129430429321</v>
      </c>
      <c r="J133" s="17">
        <v>0</v>
      </c>
      <c r="K133" s="17">
        <v>210.73764768097737</v>
      </c>
      <c r="L133" s="17">
        <v>0</v>
      </c>
      <c r="M133" s="346">
        <v>0.3</v>
      </c>
      <c r="N133" s="17">
        <v>2</v>
      </c>
      <c r="O133" s="346">
        <v>0</v>
      </c>
      <c r="P133" s="17">
        <v>5</v>
      </c>
    </row>
    <row r="134" spans="1:16">
      <c r="A134" s="10" t="str">
        <f t="shared" ca="1" si="6"/>
        <v/>
      </c>
      <c r="B134" s="65" t="s">
        <v>226</v>
      </c>
      <c r="C134" s="350" t="s">
        <v>746</v>
      </c>
      <c r="D134" s="10" t="s">
        <v>46</v>
      </c>
      <c r="E134" s="353" t="s">
        <v>521</v>
      </c>
      <c r="F134" s="352">
        <v>3</v>
      </c>
      <c r="G134" s="17">
        <f t="shared" si="7"/>
        <v>63.22129430429321</v>
      </c>
      <c r="H134" s="17">
        <f t="shared" si="8"/>
        <v>0</v>
      </c>
      <c r="I134" s="17">
        <v>63.22129430429321</v>
      </c>
      <c r="J134" s="17">
        <v>0</v>
      </c>
      <c r="K134" s="17">
        <v>210.73764768097737</v>
      </c>
      <c r="L134" s="17">
        <v>0</v>
      </c>
      <c r="M134" s="346">
        <v>0.3</v>
      </c>
      <c r="N134" s="17">
        <v>2</v>
      </c>
      <c r="O134" s="346">
        <v>0</v>
      </c>
      <c r="P134" s="17">
        <v>5</v>
      </c>
    </row>
    <row r="135" spans="1:16">
      <c r="A135" s="10" t="str">
        <f t="shared" ca="1" si="6"/>
        <v/>
      </c>
      <c r="B135" s="65" t="s">
        <v>226</v>
      </c>
      <c r="C135" s="350" t="s">
        <v>2000</v>
      </c>
      <c r="D135" s="10" t="s">
        <v>46</v>
      </c>
      <c r="E135" s="353" t="s">
        <v>522</v>
      </c>
      <c r="F135" s="352">
        <v>1</v>
      </c>
      <c r="G135" s="17">
        <f t="shared" si="7"/>
        <v>568.9916487386389</v>
      </c>
      <c r="H135" s="17">
        <f t="shared" si="8"/>
        <v>0</v>
      </c>
      <c r="I135" s="17">
        <v>568.9916487386389</v>
      </c>
      <c r="J135" s="17">
        <v>0</v>
      </c>
      <c r="K135" s="17">
        <v>1896.6388291287963</v>
      </c>
      <c r="L135" s="17">
        <v>0</v>
      </c>
      <c r="M135" s="346">
        <v>0.3</v>
      </c>
      <c r="N135" s="17">
        <v>2</v>
      </c>
      <c r="O135" s="346">
        <v>0</v>
      </c>
      <c r="P135" s="17">
        <v>5</v>
      </c>
    </row>
    <row r="136" spans="1:16">
      <c r="A136" s="10" t="str">
        <f t="shared" ca="1" si="6"/>
        <v/>
      </c>
      <c r="B136" s="65" t="s">
        <v>226</v>
      </c>
      <c r="C136" s="350" t="s">
        <v>747</v>
      </c>
      <c r="D136" s="10" t="s">
        <v>46</v>
      </c>
      <c r="E136" s="353" t="s">
        <v>523</v>
      </c>
      <c r="F136" s="352">
        <v>1</v>
      </c>
      <c r="G136" s="17">
        <f t="shared" si="7"/>
        <v>94.831941456439793</v>
      </c>
      <c r="H136" s="17">
        <f t="shared" si="8"/>
        <v>0</v>
      </c>
      <c r="I136" s="17">
        <v>94.831941456439793</v>
      </c>
      <c r="J136" s="17">
        <v>0</v>
      </c>
      <c r="K136" s="17">
        <v>316.10647152146601</v>
      </c>
      <c r="L136" s="17">
        <v>0</v>
      </c>
      <c r="M136" s="346">
        <v>0.3</v>
      </c>
      <c r="N136" s="17">
        <v>2</v>
      </c>
      <c r="O136" s="346">
        <v>0</v>
      </c>
      <c r="P136" s="17">
        <v>5</v>
      </c>
    </row>
    <row r="137" spans="1:16">
      <c r="A137" s="10" t="str">
        <f t="shared" ca="1" si="6"/>
        <v/>
      </c>
      <c r="B137" s="65" t="s">
        <v>226</v>
      </c>
      <c r="C137" s="350" t="s">
        <v>748</v>
      </c>
      <c r="D137" s="10" t="s">
        <v>46</v>
      </c>
      <c r="E137" s="353" t="s">
        <v>530</v>
      </c>
      <c r="F137" s="352">
        <v>1</v>
      </c>
      <c r="G137" s="17">
        <f t="shared" si="7"/>
        <v>31.610647152146605</v>
      </c>
      <c r="H137" s="17">
        <f t="shared" si="8"/>
        <v>0</v>
      </c>
      <c r="I137" s="17">
        <v>31.610647152146605</v>
      </c>
      <c r="J137" s="17">
        <v>0</v>
      </c>
      <c r="K137" s="17">
        <v>105.36882384048869</v>
      </c>
      <c r="L137" s="17">
        <v>0</v>
      </c>
      <c r="M137" s="346">
        <v>0.3</v>
      </c>
      <c r="N137" s="17">
        <v>2</v>
      </c>
      <c r="O137" s="346">
        <v>0</v>
      </c>
      <c r="P137" s="17">
        <v>5</v>
      </c>
    </row>
    <row r="138" spans="1:16">
      <c r="A138" s="10" t="str">
        <f t="shared" ca="1" si="6"/>
        <v/>
      </c>
      <c r="B138" s="65" t="s">
        <v>226</v>
      </c>
      <c r="C138" s="350" t="s">
        <v>2199</v>
      </c>
      <c r="D138" s="10" t="s">
        <v>46</v>
      </c>
      <c r="E138" s="353" t="s">
        <v>2011</v>
      </c>
      <c r="F138" s="352">
        <v>1</v>
      </c>
      <c r="G138" s="17">
        <f t="shared" si="7"/>
        <v>600.6022958907854</v>
      </c>
      <c r="H138" s="17">
        <f t="shared" si="8"/>
        <v>0</v>
      </c>
      <c r="I138" s="17">
        <v>600.6022958907854</v>
      </c>
      <c r="J138" s="17">
        <v>0</v>
      </c>
      <c r="K138" s="17">
        <v>2002.0076529692847</v>
      </c>
      <c r="L138" s="17">
        <v>0</v>
      </c>
      <c r="M138" s="346">
        <v>0.3</v>
      </c>
      <c r="N138" s="17">
        <v>2</v>
      </c>
      <c r="O138" s="346">
        <v>0</v>
      </c>
      <c r="P138" s="17">
        <v>5</v>
      </c>
    </row>
    <row r="139" spans="1:16">
      <c r="A139" s="10">
        <f t="shared" ca="1" si="6"/>
        <v>139</v>
      </c>
      <c r="B139" s="65" t="s">
        <v>1930</v>
      </c>
      <c r="C139" s="350" t="s">
        <v>2200</v>
      </c>
      <c r="D139" s="10" t="s">
        <v>46</v>
      </c>
      <c r="E139" s="353" t="s">
        <v>518</v>
      </c>
      <c r="F139" s="352">
        <v>6</v>
      </c>
      <c r="G139" s="17">
        <f t="shared" si="7"/>
        <v>0.16200000000000001</v>
      </c>
      <c r="H139" s="17">
        <f t="shared" si="8"/>
        <v>0</v>
      </c>
      <c r="I139" s="17">
        <v>0.16200000000000001</v>
      </c>
      <c r="J139" s="17">
        <v>0</v>
      </c>
      <c r="K139" s="17">
        <v>1.8</v>
      </c>
      <c r="L139" s="17">
        <v>0</v>
      </c>
      <c r="M139" s="346">
        <v>0.3</v>
      </c>
      <c r="N139" s="17">
        <v>2</v>
      </c>
      <c r="O139" s="346">
        <v>0</v>
      </c>
      <c r="P139" s="17">
        <v>5</v>
      </c>
    </row>
    <row r="140" spans="1:16">
      <c r="A140" s="10">
        <f t="shared" ca="1" si="6"/>
        <v>142</v>
      </c>
      <c r="B140" s="65" t="s">
        <v>269</v>
      </c>
      <c r="C140" s="350" t="s">
        <v>749</v>
      </c>
      <c r="D140" s="10" t="s">
        <v>46</v>
      </c>
      <c r="E140" s="353" t="s">
        <v>532</v>
      </c>
      <c r="F140" s="352">
        <v>1</v>
      </c>
      <c r="G140" s="17">
        <f t="shared" si="7"/>
        <v>14.493573334297968</v>
      </c>
      <c r="H140" s="17">
        <f t="shared" si="8"/>
        <v>0</v>
      </c>
      <c r="I140" s="17">
        <v>14.493573334297968</v>
      </c>
      <c r="J140" s="17">
        <v>0</v>
      </c>
      <c r="K140" s="17">
        <v>48.311911114326563</v>
      </c>
      <c r="L140" s="17">
        <v>0</v>
      </c>
      <c r="M140" s="346">
        <v>0.3</v>
      </c>
      <c r="N140" s="17">
        <v>2</v>
      </c>
      <c r="O140" s="346">
        <v>0</v>
      </c>
      <c r="P140" s="17">
        <v>5</v>
      </c>
    </row>
    <row r="141" spans="1:16">
      <c r="A141" s="10" t="str">
        <f t="shared" ca="1" si="6"/>
        <v/>
      </c>
      <c r="B141" s="65" t="s">
        <v>269</v>
      </c>
      <c r="C141" s="350" t="s">
        <v>750</v>
      </c>
      <c r="D141" s="10" t="s">
        <v>46</v>
      </c>
      <c r="E141" s="353" t="s">
        <v>533</v>
      </c>
      <c r="F141" s="352">
        <v>1</v>
      </c>
      <c r="G141" s="17">
        <f t="shared" si="7"/>
        <v>9.6623822228653129</v>
      </c>
      <c r="H141" s="17">
        <f t="shared" si="8"/>
        <v>0</v>
      </c>
      <c r="I141" s="17">
        <v>9.6623822228653129</v>
      </c>
      <c r="J141" s="17">
        <v>0</v>
      </c>
      <c r="K141" s="17">
        <v>32.207940742884375</v>
      </c>
      <c r="L141" s="17">
        <v>0</v>
      </c>
      <c r="M141" s="346">
        <v>0.3</v>
      </c>
      <c r="N141" s="17">
        <v>2</v>
      </c>
      <c r="O141" s="346">
        <v>0</v>
      </c>
      <c r="P141" s="17">
        <v>5</v>
      </c>
    </row>
    <row r="142" spans="1:16">
      <c r="A142" s="10" t="str">
        <f t="shared" ca="1" si="6"/>
        <v/>
      </c>
      <c r="B142" s="65" t="s">
        <v>269</v>
      </c>
      <c r="C142" s="350" t="s">
        <v>751</v>
      </c>
      <c r="D142" s="10" t="s">
        <v>46</v>
      </c>
      <c r="E142" s="353" t="s">
        <v>528</v>
      </c>
      <c r="F142" s="352">
        <v>1</v>
      </c>
      <c r="G142" s="17">
        <f t="shared" si="7"/>
        <v>14.493573334297968</v>
      </c>
      <c r="H142" s="17">
        <f t="shared" si="8"/>
        <v>0</v>
      </c>
      <c r="I142" s="17">
        <v>14.493573334297968</v>
      </c>
      <c r="J142" s="17">
        <v>0</v>
      </c>
      <c r="K142" s="17">
        <v>48.311911114326563</v>
      </c>
      <c r="L142" s="17">
        <v>0</v>
      </c>
      <c r="M142" s="346">
        <v>0.3</v>
      </c>
      <c r="N142" s="17">
        <v>2</v>
      </c>
      <c r="O142" s="346">
        <v>0</v>
      </c>
      <c r="P142" s="17">
        <v>5</v>
      </c>
    </row>
    <row r="143" spans="1:16">
      <c r="A143" s="10">
        <f t="shared" ca="1" si="6"/>
        <v>146</v>
      </c>
      <c r="B143" s="65" t="s">
        <v>284</v>
      </c>
      <c r="C143" s="350" t="s">
        <v>752</v>
      </c>
      <c r="D143" s="10" t="s">
        <v>47</v>
      </c>
      <c r="E143" s="353" t="s">
        <v>534</v>
      </c>
      <c r="F143" s="352">
        <v>2</v>
      </c>
      <c r="G143" s="17">
        <f t="shared" si="7"/>
        <v>286.07319840541061</v>
      </c>
      <c r="H143" s="17">
        <f t="shared" si="8"/>
        <v>0</v>
      </c>
      <c r="I143" s="17">
        <v>286.07319840541061</v>
      </c>
      <c r="J143" s="17">
        <v>0</v>
      </c>
      <c r="K143" s="17">
        <v>3178.5910933934515</v>
      </c>
      <c r="L143" s="17">
        <v>0</v>
      </c>
      <c r="M143" s="346">
        <v>0.3</v>
      </c>
      <c r="N143" s="17">
        <v>2</v>
      </c>
      <c r="O143" s="346">
        <v>0</v>
      </c>
      <c r="P143" s="17">
        <v>5</v>
      </c>
    </row>
    <row r="144" spans="1:16">
      <c r="A144" s="10" t="str">
        <f t="shared" ca="1" si="6"/>
        <v/>
      </c>
      <c r="B144" s="65" t="s">
        <v>284</v>
      </c>
      <c r="C144" s="350" t="s">
        <v>753</v>
      </c>
      <c r="D144" s="10" t="s">
        <v>47</v>
      </c>
      <c r="E144" s="353" t="s">
        <v>535</v>
      </c>
      <c r="F144" s="352">
        <v>1</v>
      </c>
      <c r="G144" s="17">
        <f t="shared" si="7"/>
        <v>953.57732801803536</v>
      </c>
      <c r="H144" s="17">
        <f t="shared" si="8"/>
        <v>0</v>
      </c>
      <c r="I144" s="17">
        <v>953.57732801803536</v>
      </c>
      <c r="J144" s="17">
        <v>0</v>
      </c>
      <c r="K144" s="17">
        <v>3178.5910933934515</v>
      </c>
      <c r="L144" s="17">
        <v>0</v>
      </c>
      <c r="M144" s="346">
        <v>0.3</v>
      </c>
      <c r="N144" s="17">
        <v>2</v>
      </c>
      <c r="O144" s="346">
        <v>0</v>
      </c>
      <c r="P144" s="17">
        <v>5</v>
      </c>
    </row>
    <row r="145" spans="1:16">
      <c r="A145" s="10" t="str">
        <f t="shared" ca="1" si="6"/>
        <v/>
      </c>
      <c r="B145" s="65" t="s">
        <v>284</v>
      </c>
      <c r="C145" s="350" t="s">
        <v>754</v>
      </c>
      <c r="D145" s="10" t="s">
        <v>47</v>
      </c>
      <c r="E145" s="353" t="s">
        <v>536</v>
      </c>
      <c r="F145" s="352">
        <v>1</v>
      </c>
      <c r="G145" s="17">
        <f t="shared" si="7"/>
        <v>953.57732801803536</v>
      </c>
      <c r="H145" s="17">
        <f t="shared" si="8"/>
        <v>0</v>
      </c>
      <c r="I145" s="17">
        <v>953.57732801803536</v>
      </c>
      <c r="J145" s="17">
        <v>0</v>
      </c>
      <c r="K145" s="17">
        <v>3178.5910933934515</v>
      </c>
      <c r="L145" s="17">
        <v>0</v>
      </c>
      <c r="M145" s="346">
        <v>0.3</v>
      </c>
      <c r="N145" s="17">
        <v>2</v>
      </c>
      <c r="O145" s="346">
        <v>0</v>
      </c>
      <c r="P145" s="17">
        <v>5</v>
      </c>
    </row>
    <row r="146" spans="1:16">
      <c r="A146" s="10" t="str">
        <f t="shared" ca="1" si="6"/>
        <v/>
      </c>
      <c r="B146" s="65" t="s">
        <v>284</v>
      </c>
      <c r="C146" s="350" t="s">
        <v>755</v>
      </c>
      <c r="D146" s="10" t="s">
        <v>47</v>
      </c>
      <c r="E146" s="353" t="s">
        <v>537</v>
      </c>
      <c r="F146" s="352">
        <v>2</v>
      </c>
      <c r="G146" s="17">
        <f t="shared" si="7"/>
        <v>286.07319840541061</v>
      </c>
      <c r="H146" s="17">
        <f t="shared" si="8"/>
        <v>0</v>
      </c>
      <c r="I146" s="17">
        <v>286.07319840541061</v>
      </c>
      <c r="J146" s="17">
        <v>0</v>
      </c>
      <c r="K146" s="17">
        <v>3178.5910933934515</v>
      </c>
      <c r="L146" s="17">
        <v>0</v>
      </c>
      <c r="M146" s="346">
        <v>0.3</v>
      </c>
      <c r="N146" s="17">
        <v>2</v>
      </c>
      <c r="O146" s="346">
        <v>0</v>
      </c>
      <c r="P146" s="17">
        <v>5</v>
      </c>
    </row>
    <row r="147" spans="1:16">
      <c r="A147" s="10">
        <f t="shared" ca="1" si="6"/>
        <v>150</v>
      </c>
      <c r="B147" s="65" t="s">
        <v>2161</v>
      </c>
      <c r="C147" s="350" t="s">
        <v>2201</v>
      </c>
      <c r="D147" s="10" t="s">
        <v>47</v>
      </c>
      <c r="E147" s="353" t="s">
        <v>541</v>
      </c>
      <c r="F147" s="352">
        <v>5</v>
      </c>
      <c r="G147" s="17">
        <f t="shared" si="7"/>
        <v>23602.21835938589</v>
      </c>
      <c r="H147" s="17">
        <f t="shared" si="8"/>
        <v>0</v>
      </c>
      <c r="I147" s="17">
        <v>23602.21835938589</v>
      </c>
      <c r="J147" s="17">
        <v>0</v>
      </c>
      <c r="K147" s="17">
        <v>78674.061197952964</v>
      </c>
      <c r="L147" s="17">
        <v>0</v>
      </c>
      <c r="M147" s="346">
        <v>0.3</v>
      </c>
      <c r="N147" s="17">
        <v>2</v>
      </c>
      <c r="O147" s="346">
        <v>0</v>
      </c>
      <c r="P147" s="17">
        <v>5</v>
      </c>
    </row>
    <row r="148" spans="1:16">
      <c r="A148" s="10" t="str">
        <f t="shared" ca="1" si="6"/>
        <v/>
      </c>
      <c r="B148" s="65" t="s">
        <v>2161</v>
      </c>
      <c r="C148" s="350" t="s">
        <v>2202</v>
      </c>
      <c r="D148" s="10" t="s">
        <v>47</v>
      </c>
      <c r="E148" s="353" t="s">
        <v>496</v>
      </c>
      <c r="F148" s="352">
        <v>1</v>
      </c>
      <c r="G148" s="17">
        <f t="shared" si="7"/>
        <v>7867.406119795296</v>
      </c>
      <c r="H148" s="17">
        <f t="shared" si="8"/>
        <v>0</v>
      </c>
      <c r="I148" s="17">
        <v>7867.406119795296</v>
      </c>
      <c r="J148" s="17">
        <v>0</v>
      </c>
      <c r="K148" s="17">
        <v>26224.687065984323</v>
      </c>
      <c r="L148" s="17">
        <v>0</v>
      </c>
      <c r="M148" s="346">
        <v>0.3</v>
      </c>
      <c r="N148" s="17">
        <v>2</v>
      </c>
      <c r="O148" s="346">
        <v>0</v>
      </c>
      <c r="P148" s="17">
        <v>5</v>
      </c>
    </row>
    <row r="149" spans="1:16">
      <c r="A149" s="10" t="str">
        <f t="shared" ca="1" si="6"/>
        <v/>
      </c>
      <c r="B149" s="65" t="s">
        <v>2161</v>
      </c>
      <c r="C149" s="350" t="s">
        <v>2203</v>
      </c>
      <c r="D149" s="10" t="s">
        <v>47</v>
      </c>
      <c r="E149" s="353" t="s">
        <v>1963</v>
      </c>
      <c r="F149" s="352">
        <v>2</v>
      </c>
      <c r="G149" s="17">
        <f t="shared" si="7"/>
        <v>2360.2218359385888</v>
      </c>
      <c r="H149" s="17">
        <f t="shared" si="8"/>
        <v>0</v>
      </c>
      <c r="I149" s="17">
        <v>2360.2218359385888</v>
      </c>
      <c r="J149" s="17">
        <v>0</v>
      </c>
      <c r="K149" s="17">
        <v>26224.687065984323</v>
      </c>
      <c r="L149" s="17">
        <v>0</v>
      </c>
      <c r="M149" s="346">
        <v>0.3</v>
      </c>
      <c r="N149" s="17">
        <v>2</v>
      </c>
      <c r="O149" s="346">
        <v>0</v>
      </c>
      <c r="P149" s="17">
        <v>5</v>
      </c>
    </row>
    <row r="150" spans="1:16">
      <c r="A150" s="10" t="str">
        <f t="shared" ca="1" si="6"/>
        <v/>
      </c>
      <c r="B150" s="65" t="s">
        <v>2161</v>
      </c>
      <c r="C150" s="350" t="s">
        <v>2204</v>
      </c>
      <c r="D150" s="10" t="s">
        <v>47</v>
      </c>
      <c r="E150" s="353" t="s">
        <v>2181</v>
      </c>
      <c r="F150" s="352">
        <v>2</v>
      </c>
      <c r="G150" s="17">
        <f t="shared" si="7"/>
        <v>708.06655078157667</v>
      </c>
      <c r="H150" s="17">
        <f t="shared" si="8"/>
        <v>0</v>
      </c>
      <c r="I150" s="17">
        <v>708.06655078157667</v>
      </c>
      <c r="J150" s="17">
        <v>0</v>
      </c>
      <c r="K150" s="17">
        <v>7867.406119795296</v>
      </c>
      <c r="L150" s="17">
        <v>0</v>
      </c>
      <c r="M150" s="346">
        <v>0.3</v>
      </c>
      <c r="N150" s="17">
        <v>2</v>
      </c>
      <c r="O150" s="346">
        <v>0</v>
      </c>
      <c r="P150" s="17">
        <v>5</v>
      </c>
    </row>
    <row r="151" spans="1:16">
      <c r="A151" s="10">
        <f t="shared" ca="1" si="6"/>
        <v>162</v>
      </c>
      <c r="B151" s="65" t="s">
        <v>279</v>
      </c>
      <c r="C151" s="350" t="s">
        <v>2205</v>
      </c>
      <c r="D151" s="10" t="s">
        <v>47</v>
      </c>
      <c r="E151" s="353" t="s">
        <v>499</v>
      </c>
      <c r="F151" s="352">
        <v>1</v>
      </c>
      <c r="G151" s="17">
        <f t="shared" si="7"/>
        <v>20506.12122592298</v>
      </c>
      <c r="H151" s="17">
        <f t="shared" si="8"/>
        <v>0</v>
      </c>
      <c r="I151" s="17">
        <v>20506.12122592298</v>
      </c>
      <c r="J151" s="17">
        <v>0</v>
      </c>
      <c r="K151" s="17">
        <v>68353.737419743265</v>
      </c>
      <c r="L151" s="17">
        <v>0</v>
      </c>
      <c r="M151" s="346">
        <v>0.3</v>
      </c>
      <c r="N151" s="17">
        <v>2</v>
      </c>
      <c r="O151" s="346">
        <v>0</v>
      </c>
      <c r="P151" s="17">
        <v>5</v>
      </c>
    </row>
    <row r="152" spans="1:16">
      <c r="A152" s="10" t="str">
        <f t="shared" ca="1" si="6"/>
        <v/>
      </c>
      <c r="B152" s="65" t="s">
        <v>279</v>
      </c>
      <c r="C152" s="350" t="s">
        <v>2002</v>
      </c>
      <c r="D152" s="10" t="s">
        <v>47</v>
      </c>
      <c r="E152" s="353" t="s">
        <v>2003</v>
      </c>
      <c r="F152" s="352">
        <v>4</v>
      </c>
      <c r="G152" s="17">
        <f t="shared" si="7"/>
        <v>5052.2327658071126</v>
      </c>
      <c r="H152" s="17">
        <f t="shared" si="8"/>
        <v>0</v>
      </c>
      <c r="I152" s="17">
        <v>5052.2327658071126</v>
      </c>
      <c r="J152" s="17">
        <v>0</v>
      </c>
      <c r="K152" s="17">
        <v>16840.775886023708</v>
      </c>
      <c r="L152" s="17">
        <v>0</v>
      </c>
      <c r="M152" s="346">
        <v>0.3</v>
      </c>
      <c r="N152" s="17">
        <v>2</v>
      </c>
      <c r="O152" s="346">
        <v>0</v>
      </c>
      <c r="P152" s="17">
        <v>5</v>
      </c>
    </row>
    <row r="153" spans="1:16">
      <c r="A153" s="10" t="str">
        <f t="shared" ca="1" si="6"/>
        <v/>
      </c>
      <c r="B153" s="65" t="s">
        <v>279</v>
      </c>
      <c r="C153" s="350" t="s">
        <v>2206</v>
      </c>
      <c r="D153" s="10" t="s">
        <v>47</v>
      </c>
      <c r="E153" s="353" t="s">
        <v>2181</v>
      </c>
      <c r="F153" s="352">
        <v>2</v>
      </c>
      <c r="G153" s="17">
        <f t="shared" si="7"/>
        <v>445.78524404180394</v>
      </c>
      <c r="H153" s="17">
        <f t="shared" si="8"/>
        <v>0</v>
      </c>
      <c r="I153" s="17">
        <v>445.78524404180394</v>
      </c>
      <c r="J153" s="17">
        <v>0</v>
      </c>
      <c r="K153" s="17">
        <v>4953.1693782422662</v>
      </c>
      <c r="L153" s="17">
        <v>0</v>
      </c>
      <c r="M153" s="346">
        <v>0.3</v>
      </c>
      <c r="N153" s="17">
        <v>2</v>
      </c>
      <c r="O153" s="346">
        <v>0</v>
      </c>
      <c r="P153" s="17">
        <v>5</v>
      </c>
    </row>
    <row r="154" spans="1:16">
      <c r="A154" s="10" t="str">
        <f t="shared" ca="1" si="6"/>
        <v/>
      </c>
      <c r="B154" s="65" t="s">
        <v>279</v>
      </c>
      <c r="C154" s="350" t="s">
        <v>756</v>
      </c>
      <c r="D154" s="10" t="s">
        <v>47</v>
      </c>
      <c r="E154" s="353" t="s">
        <v>537</v>
      </c>
      <c r="F154" s="352">
        <v>2</v>
      </c>
      <c r="G154" s="17">
        <f t="shared" si="7"/>
        <v>1515.6698297421337</v>
      </c>
      <c r="H154" s="17">
        <f t="shared" si="8"/>
        <v>0</v>
      </c>
      <c r="I154" s="17">
        <v>1515.6698297421337</v>
      </c>
      <c r="J154" s="17">
        <v>0</v>
      </c>
      <c r="K154" s="17">
        <v>16840.775886023708</v>
      </c>
      <c r="L154" s="17">
        <v>0</v>
      </c>
      <c r="M154" s="346">
        <v>0.3</v>
      </c>
      <c r="N154" s="17">
        <v>2</v>
      </c>
      <c r="O154" s="346">
        <v>0</v>
      </c>
      <c r="P154" s="17">
        <v>5</v>
      </c>
    </row>
    <row r="155" spans="1:16">
      <c r="A155" s="10" t="str">
        <f t="shared" ca="1" si="6"/>
        <v/>
      </c>
      <c r="B155" s="65" t="s">
        <v>279</v>
      </c>
      <c r="C155" s="350" t="s">
        <v>757</v>
      </c>
      <c r="D155" s="10" t="s">
        <v>47</v>
      </c>
      <c r="E155" s="353" t="s">
        <v>501</v>
      </c>
      <c r="F155" s="352">
        <v>2</v>
      </c>
      <c r="G155" s="17">
        <f t="shared" si="7"/>
        <v>2228.9262202090199</v>
      </c>
      <c r="H155" s="17">
        <f t="shared" si="8"/>
        <v>0</v>
      </c>
      <c r="I155" s="17">
        <v>2228.9262202090199</v>
      </c>
      <c r="J155" s="17">
        <v>0</v>
      </c>
      <c r="K155" s="17">
        <v>24765.846891211331</v>
      </c>
      <c r="L155" s="17">
        <v>0</v>
      </c>
      <c r="M155" s="346">
        <v>0.3</v>
      </c>
      <c r="N155" s="17">
        <v>2</v>
      </c>
      <c r="O155" s="346">
        <v>0</v>
      </c>
      <c r="P155" s="17">
        <v>5</v>
      </c>
    </row>
    <row r="156" spans="1:16">
      <c r="A156" s="10" t="str">
        <f t="shared" ca="1" si="6"/>
        <v/>
      </c>
      <c r="B156" s="65" t="s">
        <v>279</v>
      </c>
      <c r="C156" s="350" t="s">
        <v>758</v>
      </c>
      <c r="D156" s="10" t="s">
        <v>47</v>
      </c>
      <c r="E156" s="353" t="s">
        <v>515</v>
      </c>
      <c r="F156" s="352">
        <v>2</v>
      </c>
      <c r="G156" s="17">
        <f t="shared" si="7"/>
        <v>2674.7114642508236</v>
      </c>
      <c r="H156" s="17">
        <f t="shared" si="8"/>
        <v>0</v>
      </c>
      <c r="I156" s="17">
        <v>2674.7114642508236</v>
      </c>
      <c r="J156" s="17">
        <v>0</v>
      </c>
      <c r="K156" s="17">
        <v>29719.016269453597</v>
      </c>
      <c r="L156" s="17">
        <v>0</v>
      </c>
      <c r="M156" s="346">
        <v>0.3</v>
      </c>
      <c r="N156" s="17">
        <v>2</v>
      </c>
      <c r="O156" s="346">
        <v>0</v>
      </c>
      <c r="P156" s="17">
        <v>5</v>
      </c>
    </row>
    <row r="157" spans="1:16">
      <c r="A157" s="10" t="str">
        <f t="shared" ca="1" si="6"/>
        <v/>
      </c>
      <c r="B157" s="65" t="s">
        <v>279</v>
      </c>
      <c r="C157" s="350" t="s">
        <v>759</v>
      </c>
      <c r="D157" s="10" t="s">
        <v>47</v>
      </c>
      <c r="E157" s="353" t="s">
        <v>494</v>
      </c>
      <c r="F157" s="352">
        <v>2</v>
      </c>
      <c r="G157" s="17">
        <f t="shared" si="7"/>
        <v>1337.3557321254118</v>
      </c>
      <c r="H157" s="17">
        <f t="shared" si="8"/>
        <v>0</v>
      </c>
      <c r="I157" s="17">
        <v>1337.3557321254118</v>
      </c>
      <c r="J157" s="17">
        <v>0</v>
      </c>
      <c r="K157" s="17">
        <v>14859.508134726799</v>
      </c>
      <c r="L157" s="17">
        <v>0</v>
      </c>
      <c r="M157" s="346">
        <v>0.3</v>
      </c>
      <c r="N157" s="17">
        <v>2</v>
      </c>
      <c r="O157" s="346">
        <v>0</v>
      </c>
      <c r="P157" s="17">
        <v>5</v>
      </c>
    </row>
    <row r="158" spans="1:16">
      <c r="A158" s="10" t="str">
        <f t="shared" ca="1" si="6"/>
        <v/>
      </c>
      <c r="B158" s="65" t="s">
        <v>279</v>
      </c>
      <c r="C158" s="350" t="s">
        <v>760</v>
      </c>
      <c r="D158" s="10" t="s">
        <v>47</v>
      </c>
      <c r="E158" s="353" t="s">
        <v>495</v>
      </c>
      <c r="F158" s="352">
        <v>5</v>
      </c>
      <c r="G158" s="17">
        <f t="shared" si="7"/>
        <v>11887.606507781438</v>
      </c>
      <c r="H158" s="17">
        <f t="shared" si="8"/>
        <v>0</v>
      </c>
      <c r="I158" s="17">
        <v>11887.606507781438</v>
      </c>
      <c r="J158" s="17">
        <v>0</v>
      </c>
      <c r="K158" s="17">
        <v>39625.35502593813</v>
      </c>
      <c r="L158" s="17">
        <v>0</v>
      </c>
      <c r="M158" s="346">
        <v>0.3</v>
      </c>
      <c r="N158" s="17">
        <v>2</v>
      </c>
      <c r="O158" s="346">
        <v>0</v>
      </c>
      <c r="P158" s="17">
        <v>5</v>
      </c>
    </row>
    <row r="159" spans="1:16">
      <c r="A159" s="10" t="str">
        <f t="shared" ca="1" si="6"/>
        <v/>
      </c>
      <c r="B159" s="65" t="s">
        <v>279</v>
      </c>
      <c r="C159" s="350" t="s">
        <v>761</v>
      </c>
      <c r="D159" s="10" t="s">
        <v>47</v>
      </c>
      <c r="E159" s="353" t="s">
        <v>538</v>
      </c>
      <c r="F159" s="352">
        <v>1</v>
      </c>
      <c r="G159" s="17">
        <f t="shared" si="7"/>
        <v>4457.8524404180398</v>
      </c>
      <c r="H159" s="17">
        <f t="shared" si="8"/>
        <v>0</v>
      </c>
      <c r="I159" s="17">
        <v>4457.8524404180398</v>
      </c>
      <c r="J159" s="17">
        <v>0</v>
      </c>
      <c r="K159" s="17">
        <v>14859.508134726799</v>
      </c>
      <c r="L159" s="17">
        <v>0</v>
      </c>
      <c r="M159" s="346">
        <v>0.3</v>
      </c>
      <c r="N159" s="17">
        <v>2</v>
      </c>
      <c r="O159" s="346">
        <v>0</v>
      </c>
      <c r="P159" s="17">
        <v>5</v>
      </c>
    </row>
    <row r="160" spans="1:16">
      <c r="A160" s="10" t="str">
        <f t="shared" ca="1" si="6"/>
        <v/>
      </c>
      <c r="B160" s="65" t="s">
        <v>279</v>
      </c>
      <c r="C160" s="350" t="s">
        <v>762</v>
      </c>
      <c r="D160" s="10" t="s">
        <v>47</v>
      </c>
      <c r="E160" s="353" t="s">
        <v>502</v>
      </c>
      <c r="F160" s="352">
        <v>2</v>
      </c>
      <c r="G160" s="17">
        <f t="shared" si="7"/>
        <v>1604.826878550494</v>
      </c>
      <c r="H160" s="17">
        <f t="shared" si="8"/>
        <v>0</v>
      </c>
      <c r="I160" s="17">
        <v>1604.826878550494</v>
      </c>
      <c r="J160" s="17">
        <v>0</v>
      </c>
      <c r="K160" s="17">
        <v>17831.409761672159</v>
      </c>
      <c r="L160" s="17">
        <v>0</v>
      </c>
      <c r="M160" s="346">
        <v>0.3</v>
      </c>
      <c r="N160" s="17">
        <v>2</v>
      </c>
      <c r="O160" s="346">
        <v>0</v>
      </c>
      <c r="P160" s="17">
        <v>5</v>
      </c>
    </row>
    <row r="161" spans="1:16">
      <c r="A161" s="10" t="str">
        <f t="shared" ca="1" si="6"/>
        <v/>
      </c>
      <c r="B161" s="65" t="s">
        <v>279</v>
      </c>
      <c r="C161" s="350" t="s">
        <v>763</v>
      </c>
      <c r="D161" s="10" t="s">
        <v>47</v>
      </c>
      <c r="E161" s="353" t="s">
        <v>504</v>
      </c>
      <c r="F161" s="352">
        <v>1</v>
      </c>
      <c r="G161" s="17">
        <f t="shared" si="7"/>
        <v>4457.8524404180398</v>
      </c>
      <c r="H161" s="17">
        <f t="shared" si="8"/>
        <v>0</v>
      </c>
      <c r="I161" s="17">
        <v>4457.8524404180398</v>
      </c>
      <c r="J161" s="17">
        <v>0</v>
      </c>
      <c r="K161" s="17">
        <v>14859.508134726799</v>
      </c>
      <c r="L161" s="17">
        <v>0</v>
      </c>
      <c r="M161" s="346">
        <v>0.3</v>
      </c>
      <c r="N161" s="17">
        <v>2</v>
      </c>
      <c r="O161" s="346">
        <v>0</v>
      </c>
      <c r="P161" s="17">
        <v>5</v>
      </c>
    </row>
    <row r="162" spans="1:16">
      <c r="A162" s="10" t="str">
        <f t="shared" ca="1" si="6"/>
        <v/>
      </c>
      <c r="B162" s="65" t="s">
        <v>279</v>
      </c>
      <c r="C162" s="350" t="s">
        <v>2207</v>
      </c>
      <c r="D162" s="10" t="s">
        <v>47</v>
      </c>
      <c r="E162" s="353" t="s">
        <v>2176</v>
      </c>
      <c r="F162" s="352">
        <v>2</v>
      </c>
      <c r="G162" s="17">
        <f t="shared" si="7"/>
        <v>4012.0671963762352</v>
      </c>
      <c r="H162" s="17">
        <f t="shared" si="8"/>
        <v>0</v>
      </c>
      <c r="I162" s="17">
        <v>4012.0671963762352</v>
      </c>
      <c r="J162" s="17">
        <v>0</v>
      </c>
      <c r="K162" s="17">
        <v>44578.524404180396</v>
      </c>
      <c r="L162" s="17">
        <v>0</v>
      </c>
      <c r="M162" s="346">
        <v>0.3</v>
      </c>
      <c r="N162" s="17">
        <v>2</v>
      </c>
      <c r="O162" s="346">
        <v>0</v>
      </c>
      <c r="P162" s="17">
        <v>5</v>
      </c>
    </row>
    <row r="163" spans="1:16">
      <c r="A163" s="10">
        <f t="shared" ca="1" si="6"/>
        <v>180</v>
      </c>
      <c r="B163" s="65" t="s">
        <v>251</v>
      </c>
      <c r="C163" s="350" t="s">
        <v>2208</v>
      </c>
      <c r="D163" s="10" t="s">
        <v>46</v>
      </c>
      <c r="E163" s="353" t="s">
        <v>2209</v>
      </c>
      <c r="F163" s="352">
        <v>1</v>
      </c>
      <c r="G163" s="17">
        <f t="shared" si="7"/>
        <v>6832.1635639583392</v>
      </c>
      <c r="H163" s="17">
        <f t="shared" si="8"/>
        <v>0</v>
      </c>
      <c r="I163" s="17">
        <v>6832.1635639583392</v>
      </c>
      <c r="J163" s="17">
        <v>0</v>
      </c>
      <c r="K163" s="17">
        <v>22773.878546527798</v>
      </c>
      <c r="L163" s="17">
        <v>0</v>
      </c>
      <c r="M163" s="346">
        <v>0.3</v>
      </c>
      <c r="N163" s="17">
        <v>2</v>
      </c>
      <c r="O163" s="346">
        <v>0</v>
      </c>
      <c r="P163" s="17">
        <v>5</v>
      </c>
    </row>
    <row r="164" spans="1:16">
      <c r="A164" s="10" t="str">
        <f t="shared" ca="1" si="6"/>
        <v/>
      </c>
      <c r="B164" s="65" t="s">
        <v>251</v>
      </c>
      <c r="C164" s="350" t="s">
        <v>764</v>
      </c>
      <c r="D164" s="10" t="s">
        <v>46</v>
      </c>
      <c r="E164" s="353" t="s">
        <v>518</v>
      </c>
      <c r="F164" s="352">
        <v>1</v>
      </c>
      <c r="G164" s="17">
        <f t="shared" si="7"/>
        <v>11179.904013750009</v>
      </c>
      <c r="H164" s="17">
        <f t="shared" si="8"/>
        <v>0</v>
      </c>
      <c r="I164" s="17">
        <v>11179.904013750009</v>
      </c>
      <c r="J164" s="17">
        <v>0</v>
      </c>
      <c r="K164" s="17">
        <v>37266.346712500032</v>
      </c>
      <c r="L164" s="17">
        <v>0</v>
      </c>
      <c r="M164" s="346">
        <v>0.3</v>
      </c>
      <c r="N164" s="17">
        <v>2</v>
      </c>
      <c r="O164" s="346">
        <v>0</v>
      </c>
      <c r="P164" s="17">
        <v>5</v>
      </c>
    </row>
    <row r="165" spans="1:16">
      <c r="A165" s="10" t="str">
        <f t="shared" ca="1" si="6"/>
        <v/>
      </c>
      <c r="B165" s="65" t="s">
        <v>251</v>
      </c>
      <c r="C165" s="350" t="s">
        <v>2210</v>
      </c>
      <c r="D165" s="10" t="s">
        <v>46</v>
      </c>
      <c r="E165" s="353" t="s">
        <v>2198</v>
      </c>
      <c r="F165" s="352">
        <v>1</v>
      </c>
      <c r="G165" s="17">
        <f t="shared" si="7"/>
        <v>1242.2115570833344</v>
      </c>
      <c r="H165" s="17">
        <f t="shared" si="8"/>
        <v>0</v>
      </c>
      <c r="I165" s="17">
        <v>1242.2115570833344</v>
      </c>
      <c r="J165" s="17">
        <v>0</v>
      </c>
      <c r="K165" s="17">
        <v>4140.7051902777812</v>
      </c>
      <c r="L165" s="17">
        <v>0</v>
      </c>
      <c r="M165" s="346">
        <v>0.3</v>
      </c>
      <c r="N165" s="17">
        <v>2</v>
      </c>
      <c r="O165" s="346">
        <v>0</v>
      </c>
      <c r="P165" s="17">
        <v>5</v>
      </c>
    </row>
    <row r="166" spans="1:16">
      <c r="A166" s="10" t="str">
        <f t="shared" ca="1" si="6"/>
        <v/>
      </c>
      <c r="B166" s="65" t="s">
        <v>251</v>
      </c>
      <c r="C166" s="350" t="s">
        <v>2004</v>
      </c>
      <c r="D166" s="10" t="s">
        <v>46</v>
      </c>
      <c r="E166" s="353" t="s">
        <v>520</v>
      </c>
      <c r="F166" s="352">
        <v>3</v>
      </c>
      <c r="G166" s="17">
        <f t="shared" si="7"/>
        <v>1242.2115570833344</v>
      </c>
      <c r="H166" s="17">
        <f t="shared" si="8"/>
        <v>0</v>
      </c>
      <c r="I166" s="17">
        <v>1242.2115570833344</v>
      </c>
      <c r="J166" s="17">
        <v>0</v>
      </c>
      <c r="K166" s="17">
        <v>4140.7051902777812</v>
      </c>
      <c r="L166" s="17">
        <v>0</v>
      </c>
      <c r="M166" s="346">
        <v>0.3</v>
      </c>
      <c r="N166" s="17">
        <v>2</v>
      </c>
      <c r="O166" s="346">
        <v>0</v>
      </c>
      <c r="P166" s="17">
        <v>5</v>
      </c>
    </row>
    <row r="167" spans="1:16">
      <c r="A167" s="10" t="str">
        <f t="shared" ca="1" si="6"/>
        <v/>
      </c>
      <c r="B167" s="65" t="s">
        <v>251</v>
      </c>
      <c r="C167" s="350" t="s">
        <v>2005</v>
      </c>
      <c r="D167" s="10" t="s">
        <v>46</v>
      </c>
      <c r="E167" s="353" t="s">
        <v>521</v>
      </c>
      <c r="F167" s="352">
        <v>3</v>
      </c>
      <c r="G167" s="17">
        <f t="shared" si="7"/>
        <v>1242.2115570833344</v>
      </c>
      <c r="H167" s="17">
        <f t="shared" si="8"/>
        <v>0</v>
      </c>
      <c r="I167" s="17">
        <v>1242.2115570833344</v>
      </c>
      <c r="J167" s="17">
        <v>0</v>
      </c>
      <c r="K167" s="17">
        <v>4140.7051902777812</v>
      </c>
      <c r="L167" s="17">
        <v>0</v>
      </c>
      <c r="M167" s="346">
        <v>0.3</v>
      </c>
      <c r="N167" s="17">
        <v>2</v>
      </c>
      <c r="O167" s="346">
        <v>0</v>
      </c>
      <c r="P167" s="17">
        <v>5</v>
      </c>
    </row>
    <row r="168" spans="1:16">
      <c r="A168" s="10" t="str">
        <f t="shared" ca="1" si="6"/>
        <v/>
      </c>
      <c r="B168" s="65" t="s">
        <v>251</v>
      </c>
      <c r="C168" s="350" t="s">
        <v>2006</v>
      </c>
      <c r="D168" s="10" t="s">
        <v>46</v>
      </c>
      <c r="E168" s="353" t="s">
        <v>522</v>
      </c>
      <c r="F168" s="352">
        <v>3</v>
      </c>
      <c r="G168" s="17">
        <f t="shared" si="7"/>
        <v>1242.2115570833344</v>
      </c>
      <c r="H168" s="17">
        <f t="shared" si="8"/>
        <v>0</v>
      </c>
      <c r="I168" s="17">
        <v>1242.2115570833344</v>
      </c>
      <c r="J168" s="17">
        <v>0</v>
      </c>
      <c r="K168" s="17">
        <v>4140.7051902777812</v>
      </c>
      <c r="L168" s="17">
        <v>0</v>
      </c>
      <c r="M168" s="346">
        <v>0.3</v>
      </c>
      <c r="N168" s="17">
        <v>2</v>
      </c>
      <c r="O168" s="346">
        <v>0</v>
      </c>
      <c r="P168" s="17">
        <v>5</v>
      </c>
    </row>
    <row r="169" spans="1:16">
      <c r="A169" s="10" t="str">
        <f t="shared" ca="1" si="6"/>
        <v/>
      </c>
      <c r="B169" s="65" t="s">
        <v>251</v>
      </c>
      <c r="C169" s="350" t="s">
        <v>2007</v>
      </c>
      <c r="D169" s="10" t="s">
        <v>46</v>
      </c>
      <c r="E169" s="353" t="s">
        <v>2014</v>
      </c>
      <c r="F169" s="352">
        <v>1</v>
      </c>
      <c r="G169" s="17">
        <f t="shared" si="7"/>
        <v>11179.904013750009</v>
      </c>
      <c r="H169" s="17">
        <f t="shared" si="8"/>
        <v>0</v>
      </c>
      <c r="I169" s="17">
        <v>11179.904013750009</v>
      </c>
      <c r="J169" s="17">
        <v>0</v>
      </c>
      <c r="K169" s="17">
        <v>37266.346712500032</v>
      </c>
      <c r="L169" s="17">
        <v>0</v>
      </c>
      <c r="M169" s="346">
        <v>0.3</v>
      </c>
      <c r="N169" s="17">
        <v>2</v>
      </c>
      <c r="O169" s="346">
        <v>0</v>
      </c>
      <c r="P169" s="17">
        <v>5</v>
      </c>
    </row>
    <row r="170" spans="1:16">
      <c r="A170" s="10" t="str">
        <f t="shared" ca="1" si="6"/>
        <v/>
      </c>
      <c r="B170" s="65" t="s">
        <v>251</v>
      </c>
      <c r="C170" s="350" t="s">
        <v>2008</v>
      </c>
      <c r="D170" s="10" t="s">
        <v>46</v>
      </c>
      <c r="E170" s="353" t="s">
        <v>2211</v>
      </c>
      <c r="F170" s="352">
        <v>5</v>
      </c>
      <c r="G170" s="17">
        <f t="shared" si="7"/>
        <v>6211.0577854166722</v>
      </c>
      <c r="H170" s="17">
        <f t="shared" si="8"/>
        <v>0</v>
      </c>
      <c r="I170" s="17">
        <v>6211.0577854166722</v>
      </c>
      <c r="J170" s="17">
        <v>0</v>
      </c>
      <c r="K170" s="17">
        <v>20703.525951388907</v>
      </c>
      <c r="L170" s="17">
        <v>0</v>
      </c>
      <c r="M170" s="346">
        <v>0.3</v>
      </c>
      <c r="N170" s="17">
        <v>2</v>
      </c>
      <c r="O170" s="346">
        <v>0</v>
      </c>
      <c r="P170" s="17">
        <v>5</v>
      </c>
    </row>
    <row r="171" spans="1:16">
      <c r="A171" s="10" t="str">
        <f t="shared" ca="1" si="6"/>
        <v/>
      </c>
      <c r="B171" s="65" t="s">
        <v>251</v>
      </c>
      <c r="C171" s="350" t="s">
        <v>2212</v>
      </c>
      <c r="D171" s="10" t="s">
        <v>46</v>
      </c>
      <c r="E171" s="353" t="s">
        <v>2193</v>
      </c>
      <c r="F171" s="352">
        <v>1</v>
      </c>
      <c r="G171" s="17">
        <f t="shared" si="7"/>
        <v>3105.5288927083361</v>
      </c>
      <c r="H171" s="17">
        <f t="shared" si="8"/>
        <v>0</v>
      </c>
      <c r="I171" s="17">
        <v>3105.5288927083361</v>
      </c>
      <c r="J171" s="17">
        <v>0</v>
      </c>
      <c r="K171" s="17">
        <v>10351.762975694453</v>
      </c>
      <c r="L171" s="17">
        <v>0</v>
      </c>
      <c r="M171" s="346">
        <v>0.3</v>
      </c>
      <c r="N171" s="17">
        <v>2</v>
      </c>
      <c r="O171" s="346">
        <v>0</v>
      </c>
      <c r="P171" s="17">
        <v>5</v>
      </c>
    </row>
    <row r="172" spans="1:16">
      <c r="A172" s="10" t="str">
        <f t="shared" ca="1" si="6"/>
        <v/>
      </c>
      <c r="B172" s="65" t="s">
        <v>251</v>
      </c>
      <c r="C172" s="350" t="s">
        <v>765</v>
      </c>
      <c r="D172" s="10" t="s">
        <v>46</v>
      </c>
      <c r="E172" s="353" t="s">
        <v>523</v>
      </c>
      <c r="F172" s="352">
        <v>1</v>
      </c>
      <c r="G172" s="17">
        <f t="shared" si="7"/>
        <v>621.10577854166718</v>
      </c>
      <c r="H172" s="17">
        <f t="shared" si="8"/>
        <v>0</v>
      </c>
      <c r="I172" s="17">
        <v>621.10577854166718</v>
      </c>
      <c r="J172" s="17">
        <v>0</v>
      </c>
      <c r="K172" s="17">
        <v>2070.3525951388906</v>
      </c>
      <c r="L172" s="17">
        <v>0</v>
      </c>
      <c r="M172" s="346">
        <v>0.3</v>
      </c>
      <c r="N172" s="17">
        <v>2</v>
      </c>
      <c r="O172" s="346">
        <v>0</v>
      </c>
      <c r="P172" s="17">
        <v>5</v>
      </c>
    </row>
    <row r="173" spans="1:16">
      <c r="A173" s="10" t="str">
        <f t="shared" ca="1" si="6"/>
        <v/>
      </c>
      <c r="B173" s="65" t="s">
        <v>251</v>
      </c>
      <c r="C173" s="350" t="s">
        <v>766</v>
      </c>
      <c r="D173" s="10" t="s">
        <v>46</v>
      </c>
      <c r="E173" s="353" t="s">
        <v>539</v>
      </c>
      <c r="F173" s="352">
        <v>7</v>
      </c>
      <c r="G173" s="17">
        <f t="shared" si="7"/>
        <v>621.10577854166718</v>
      </c>
      <c r="H173" s="17">
        <f t="shared" si="8"/>
        <v>0</v>
      </c>
      <c r="I173" s="17">
        <v>621.10577854166718</v>
      </c>
      <c r="J173" s="17">
        <v>0</v>
      </c>
      <c r="K173" s="17">
        <v>2070.3525951388906</v>
      </c>
      <c r="L173" s="17">
        <v>0</v>
      </c>
      <c r="M173" s="346">
        <v>0.3</v>
      </c>
      <c r="N173" s="17">
        <v>2</v>
      </c>
      <c r="O173" s="346">
        <v>0</v>
      </c>
      <c r="P173" s="17">
        <v>5</v>
      </c>
    </row>
    <row r="174" spans="1:16">
      <c r="A174" s="10" t="str">
        <f t="shared" ca="1" si="6"/>
        <v/>
      </c>
      <c r="B174" s="65" t="s">
        <v>251</v>
      </c>
      <c r="C174" s="350" t="s">
        <v>767</v>
      </c>
      <c r="D174" s="10" t="s">
        <v>46</v>
      </c>
      <c r="E174" s="353" t="s">
        <v>524</v>
      </c>
      <c r="F174" s="352">
        <v>1</v>
      </c>
      <c r="G174" s="17">
        <f t="shared" si="7"/>
        <v>621.10577854166718</v>
      </c>
      <c r="H174" s="17">
        <f t="shared" si="8"/>
        <v>0</v>
      </c>
      <c r="I174" s="17">
        <v>621.10577854166718</v>
      </c>
      <c r="J174" s="17">
        <v>0</v>
      </c>
      <c r="K174" s="17">
        <v>2070.3525951388906</v>
      </c>
      <c r="L174" s="17">
        <v>0</v>
      </c>
      <c r="M174" s="346">
        <v>0.3</v>
      </c>
      <c r="N174" s="17">
        <v>2</v>
      </c>
      <c r="O174" s="346">
        <v>0</v>
      </c>
      <c r="P174" s="17">
        <v>5</v>
      </c>
    </row>
    <row r="175" spans="1:16">
      <c r="A175" s="10" t="str">
        <f t="shared" ca="1" si="6"/>
        <v/>
      </c>
      <c r="B175" s="65" t="s">
        <v>251</v>
      </c>
      <c r="C175" s="350" t="s">
        <v>768</v>
      </c>
      <c r="D175" s="10" t="s">
        <v>46</v>
      </c>
      <c r="E175" s="353" t="s">
        <v>530</v>
      </c>
      <c r="F175" s="352">
        <v>1</v>
      </c>
      <c r="G175" s="17">
        <f t="shared" si="7"/>
        <v>621.10577854166718</v>
      </c>
      <c r="H175" s="17">
        <f t="shared" si="8"/>
        <v>0</v>
      </c>
      <c r="I175" s="17">
        <v>621.10577854166718</v>
      </c>
      <c r="J175" s="17">
        <v>0</v>
      </c>
      <c r="K175" s="17">
        <v>2070.3525951388906</v>
      </c>
      <c r="L175" s="17">
        <v>0</v>
      </c>
      <c r="M175" s="346">
        <v>0.3</v>
      </c>
      <c r="N175" s="17">
        <v>2</v>
      </c>
      <c r="O175" s="346">
        <v>0</v>
      </c>
      <c r="P175" s="17">
        <v>5</v>
      </c>
    </row>
    <row r="176" spans="1:16">
      <c r="A176" s="10" t="str">
        <f t="shared" ca="1" si="6"/>
        <v/>
      </c>
      <c r="B176" s="65" t="s">
        <v>251</v>
      </c>
      <c r="C176" s="350" t="s">
        <v>769</v>
      </c>
      <c r="D176" s="10" t="s">
        <v>46</v>
      </c>
      <c r="E176" s="353" t="s">
        <v>531</v>
      </c>
      <c r="F176" s="352">
        <v>1</v>
      </c>
      <c r="G176" s="17">
        <f t="shared" si="7"/>
        <v>372.6634671250003</v>
      </c>
      <c r="H176" s="17">
        <f t="shared" si="8"/>
        <v>0</v>
      </c>
      <c r="I176" s="17">
        <v>372.6634671250003</v>
      </c>
      <c r="J176" s="17">
        <v>0</v>
      </c>
      <c r="K176" s="17">
        <v>1242.2115570833344</v>
      </c>
      <c r="L176" s="17">
        <v>0</v>
      </c>
      <c r="M176" s="346">
        <v>0.3</v>
      </c>
      <c r="N176" s="17">
        <v>2</v>
      </c>
      <c r="O176" s="346">
        <v>0</v>
      </c>
      <c r="P176" s="17">
        <v>5</v>
      </c>
    </row>
    <row r="177" spans="1:16">
      <c r="A177" s="10" t="str">
        <f t="shared" ca="1" si="6"/>
        <v/>
      </c>
      <c r="B177" s="65" t="s">
        <v>251</v>
      </c>
      <c r="C177" s="350" t="s">
        <v>770</v>
      </c>
      <c r="D177" s="10" t="s">
        <v>46</v>
      </c>
      <c r="E177" s="353" t="s">
        <v>540</v>
      </c>
      <c r="F177" s="352">
        <v>1</v>
      </c>
      <c r="G177" s="17">
        <f t="shared" si="7"/>
        <v>372.6634671250003</v>
      </c>
      <c r="H177" s="17">
        <f t="shared" si="8"/>
        <v>0</v>
      </c>
      <c r="I177" s="17">
        <v>372.6634671250003</v>
      </c>
      <c r="J177" s="17">
        <v>0</v>
      </c>
      <c r="K177" s="17">
        <v>1242.2115570833344</v>
      </c>
      <c r="L177" s="17">
        <v>0</v>
      </c>
      <c r="M177" s="346">
        <v>0.3</v>
      </c>
      <c r="N177" s="17">
        <v>2</v>
      </c>
      <c r="O177" s="346">
        <v>0</v>
      </c>
      <c r="P177" s="17">
        <v>5</v>
      </c>
    </row>
    <row r="178" spans="1:16">
      <c r="A178" s="10" t="str">
        <f t="shared" ca="1" si="6"/>
        <v/>
      </c>
      <c r="B178" s="65" t="s">
        <v>251</v>
      </c>
      <c r="C178" s="350" t="s">
        <v>2213</v>
      </c>
      <c r="D178" s="10" t="s">
        <v>46</v>
      </c>
      <c r="E178" s="353" t="s">
        <v>2214</v>
      </c>
      <c r="F178" s="352">
        <v>1</v>
      </c>
      <c r="G178" s="17">
        <f t="shared" si="7"/>
        <v>10434.577079500008</v>
      </c>
      <c r="H178" s="17">
        <f t="shared" si="8"/>
        <v>0</v>
      </c>
      <c r="I178" s="17">
        <v>10434.577079500008</v>
      </c>
      <c r="J178" s="17">
        <v>0</v>
      </c>
      <c r="K178" s="17">
        <v>34781.923598333364</v>
      </c>
      <c r="L178" s="17">
        <v>0</v>
      </c>
      <c r="M178" s="346">
        <v>0.3</v>
      </c>
      <c r="N178" s="17">
        <v>2</v>
      </c>
      <c r="O178" s="346">
        <v>0</v>
      </c>
      <c r="P178" s="17">
        <v>5</v>
      </c>
    </row>
    <row r="179" spans="1:16">
      <c r="A179" s="10" t="str">
        <f t="shared" ca="1" si="6"/>
        <v/>
      </c>
      <c r="B179" s="65" t="s">
        <v>251</v>
      </c>
      <c r="C179" s="350" t="s">
        <v>2215</v>
      </c>
      <c r="D179" s="10" t="s">
        <v>46</v>
      </c>
      <c r="E179" s="353" t="s">
        <v>2216</v>
      </c>
      <c r="F179" s="352">
        <v>1</v>
      </c>
      <c r="G179" s="17">
        <f t="shared" si="7"/>
        <v>10807.240546625009</v>
      </c>
      <c r="H179" s="17">
        <f t="shared" si="8"/>
        <v>0</v>
      </c>
      <c r="I179" s="17">
        <v>10807.240546625009</v>
      </c>
      <c r="J179" s="17">
        <v>0</v>
      </c>
      <c r="K179" s="17">
        <v>36024.135155416698</v>
      </c>
      <c r="L179" s="17">
        <v>0</v>
      </c>
      <c r="M179" s="346">
        <v>0.3</v>
      </c>
      <c r="N179" s="17">
        <v>2</v>
      </c>
      <c r="O179" s="346">
        <v>0</v>
      </c>
      <c r="P179" s="17">
        <v>5</v>
      </c>
    </row>
    <row r="180" spans="1:16">
      <c r="A180" s="10" t="str">
        <f t="shared" ca="1" si="6"/>
        <v/>
      </c>
      <c r="B180" s="65" t="s">
        <v>251</v>
      </c>
      <c r="C180" s="350" t="s">
        <v>2217</v>
      </c>
      <c r="D180" s="10" t="s">
        <v>46</v>
      </c>
      <c r="E180" s="353" t="s">
        <v>2011</v>
      </c>
      <c r="F180" s="352">
        <v>1</v>
      </c>
      <c r="G180" s="17">
        <f t="shared" si="7"/>
        <v>8695.4808995833391</v>
      </c>
      <c r="H180" s="17">
        <f t="shared" si="8"/>
        <v>0</v>
      </c>
      <c r="I180" s="17">
        <v>8695.4808995833391</v>
      </c>
      <c r="J180" s="17">
        <v>0</v>
      </c>
      <c r="K180" s="17">
        <v>28984.936331944467</v>
      </c>
      <c r="L180" s="17">
        <v>0</v>
      </c>
      <c r="M180" s="346">
        <v>0.3</v>
      </c>
      <c r="N180" s="17">
        <v>2</v>
      </c>
      <c r="O180" s="346">
        <v>0</v>
      </c>
      <c r="P180" s="17">
        <v>5</v>
      </c>
    </row>
    <row r="181" spans="1:16">
      <c r="A181" s="10">
        <f t="shared" ca="1" si="6"/>
        <v>182</v>
      </c>
      <c r="B181" s="65" t="s">
        <v>2132</v>
      </c>
      <c r="C181" s="350" t="s">
        <v>2218</v>
      </c>
      <c r="D181" s="10" t="s">
        <v>46</v>
      </c>
      <c r="E181" s="353" t="s">
        <v>518</v>
      </c>
      <c r="F181" s="352">
        <v>1</v>
      </c>
      <c r="G181" s="17">
        <f t="shared" si="7"/>
        <v>71.963761000714044</v>
      </c>
      <c r="H181" s="17">
        <f t="shared" si="8"/>
        <v>0</v>
      </c>
      <c r="I181" s="17">
        <v>71.963761000714044</v>
      </c>
      <c r="J181" s="17">
        <v>0</v>
      </c>
      <c r="K181" s="17">
        <v>239.87920333571347</v>
      </c>
      <c r="L181" s="17">
        <v>0</v>
      </c>
      <c r="M181" s="346">
        <v>0.3</v>
      </c>
      <c r="N181" s="17">
        <v>2</v>
      </c>
      <c r="O181" s="346">
        <v>0</v>
      </c>
      <c r="P181" s="17">
        <v>5</v>
      </c>
    </row>
    <row r="182" spans="1:16">
      <c r="A182" s="10" t="str">
        <f t="shared" ca="1" si="6"/>
        <v/>
      </c>
      <c r="B182" s="65" t="s">
        <v>2132</v>
      </c>
      <c r="C182" s="350" t="s">
        <v>2219</v>
      </c>
      <c r="D182" s="10" t="s">
        <v>46</v>
      </c>
      <c r="E182" s="353" t="s">
        <v>523</v>
      </c>
      <c r="F182" s="352">
        <v>5</v>
      </c>
      <c r="G182" s="17">
        <f t="shared" si="7"/>
        <v>25.701343214540731</v>
      </c>
      <c r="H182" s="17">
        <f t="shared" si="8"/>
        <v>0</v>
      </c>
      <c r="I182" s="17">
        <v>25.701343214540731</v>
      </c>
      <c r="J182" s="17">
        <v>0</v>
      </c>
      <c r="K182" s="17">
        <v>85.671144048469102</v>
      </c>
      <c r="L182" s="17">
        <v>0</v>
      </c>
      <c r="M182" s="346">
        <v>0.3</v>
      </c>
      <c r="N182" s="17">
        <v>2</v>
      </c>
      <c r="O182" s="346">
        <v>0</v>
      </c>
      <c r="P182" s="17">
        <v>5</v>
      </c>
    </row>
    <row r="183" spans="1:16">
      <c r="A183" s="10">
        <f t="shared" ca="1" si="6"/>
        <v>190</v>
      </c>
      <c r="B183" s="65" t="s">
        <v>257</v>
      </c>
      <c r="C183" s="350" t="s">
        <v>771</v>
      </c>
      <c r="D183" s="10" t="s">
        <v>46</v>
      </c>
      <c r="E183" s="353" t="s">
        <v>518</v>
      </c>
      <c r="F183" s="352">
        <v>5</v>
      </c>
      <c r="G183" s="17">
        <f t="shared" si="7"/>
        <v>2487.4692516849968</v>
      </c>
      <c r="H183" s="17">
        <f t="shared" si="8"/>
        <v>0</v>
      </c>
      <c r="I183" s="17">
        <v>2487.4692516849968</v>
      </c>
      <c r="J183" s="17">
        <v>0</v>
      </c>
      <c r="K183" s="17">
        <v>8291.5641722833225</v>
      </c>
      <c r="L183" s="17">
        <v>0</v>
      </c>
      <c r="M183" s="346">
        <v>0.3</v>
      </c>
      <c r="N183" s="17">
        <v>2</v>
      </c>
      <c r="O183" s="346">
        <v>0</v>
      </c>
      <c r="P183" s="17">
        <v>5</v>
      </c>
    </row>
    <row r="184" spans="1:16">
      <c r="A184" s="10" t="str">
        <f t="shared" ca="1" si="6"/>
        <v/>
      </c>
      <c r="B184" s="65" t="s">
        <v>257</v>
      </c>
      <c r="C184" s="350" t="s">
        <v>772</v>
      </c>
      <c r="D184" s="10" t="s">
        <v>46</v>
      </c>
      <c r="E184" s="353" t="s">
        <v>520</v>
      </c>
      <c r="F184" s="352">
        <v>3</v>
      </c>
      <c r="G184" s="17">
        <f t="shared" si="7"/>
        <v>414.5782086141661</v>
      </c>
      <c r="H184" s="17">
        <f t="shared" si="8"/>
        <v>0</v>
      </c>
      <c r="I184" s="17">
        <v>414.5782086141661</v>
      </c>
      <c r="J184" s="17">
        <v>0</v>
      </c>
      <c r="K184" s="17">
        <v>1381.9273620472204</v>
      </c>
      <c r="L184" s="17">
        <v>0</v>
      </c>
      <c r="M184" s="346">
        <v>0.3</v>
      </c>
      <c r="N184" s="17">
        <v>2</v>
      </c>
      <c r="O184" s="346">
        <v>0</v>
      </c>
      <c r="P184" s="17">
        <v>5</v>
      </c>
    </row>
    <row r="185" spans="1:16">
      <c r="A185" s="10" t="str">
        <f t="shared" ca="1" si="6"/>
        <v/>
      </c>
      <c r="B185" s="65" t="s">
        <v>257</v>
      </c>
      <c r="C185" s="350" t="s">
        <v>2009</v>
      </c>
      <c r="D185" s="10" t="s">
        <v>46</v>
      </c>
      <c r="E185" s="353" t="s">
        <v>522</v>
      </c>
      <c r="F185" s="352">
        <v>1</v>
      </c>
      <c r="G185" s="17">
        <f t="shared" si="7"/>
        <v>2487.4692516849968</v>
      </c>
      <c r="H185" s="17">
        <f t="shared" si="8"/>
        <v>0</v>
      </c>
      <c r="I185" s="17">
        <v>2487.4692516849968</v>
      </c>
      <c r="J185" s="17">
        <v>0</v>
      </c>
      <c r="K185" s="17">
        <v>8291.5641722833225</v>
      </c>
      <c r="L185" s="17">
        <v>0</v>
      </c>
      <c r="M185" s="346">
        <v>0.3</v>
      </c>
      <c r="N185" s="17">
        <v>2</v>
      </c>
      <c r="O185" s="346">
        <v>0</v>
      </c>
      <c r="P185" s="17">
        <v>5</v>
      </c>
    </row>
    <row r="186" spans="1:16">
      <c r="A186" s="10" t="str">
        <f t="shared" ca="1" si="6"/>
        <v/>
      </c>
      <c r="B186" s="65" t="s">
        <v>257</v>
      </c>
      <c r="C186" s="350" t="s">
        <v>2010</v>
      </c>
      <c r="D186" s="10" t="s">
        <v>46</v>
      </c>
      <c r="E186" s="353" t="s">
        <v>2014</v>
      </c>
      <c r="F186" s="352">
        <v>1</v>
      </c>
      <c r="G186" s="17">
        <f t="shared" si="7"/>
        <v>2487.4692516849968</v>
      </c>
      <c r="H186" s="17">
        <f t="shared" si="8"/>
        <v>0</v>
      </c>
      <c r="I186" s="17">
        <v>2487.4692516849968</v>
      </c>
      <c r="J186" s="17">
        <v>0</v>
      </c>
      <c r="K186" s="17">
        <v>8291.5641722833225</v>
      </c>
      <c r="L186" s="17">
        <v>0</v>
      </c>
      <c r="M186" s="346">
        <v>0.3</v>
      </c>
      <c r="N186" s="17">
        <v>2</v>
      </c>
      <c r="O186" s="346">
        <v>0</v>
      </c>
      <c r="P186" s="17">
        <v>5</v>
      </c>
    </row>
    <row r="187" spans="1:16">
      <c r="A187" s="10" t="str">
        <f t="shared" ca="1" si="6"/>
        <v/>
      </c>
      <c r="B187" s="65" t="s">
        <v>257</v>
      </c>
      <c r="C187" s="350" t="s">
        <v>773</v>
      </c>
      <c r="D187" s="10" t="s">
        <v>46</v>
      </c>
      <c r="E187" s="353" t="s">
        <v>523</v>
      </c>
      <c r="F187" s="352">
        <v>5</v>
      </c>
      <c r="G187" s="17">
        <f t="shared" si="7"/>
        <v>276.38547240944411</v>
      </c>
      <c r="H187" s="17">
        <f t="shared" si="8"/>
        <v>0</v>
      </c>
      <c r="I187" s="17">
        <v>276.38547240944411</v>
      </c>
      <c r="J187" s="17">
        <v>0</v>
      </c>
      <c r="K187" s="17">
        <v>921.28490803148043</v>
      </c>
      <c r="L187" s="17">
        <v>0</v>
      </c>
      <c r="M187" s="346">
        <v>0.3</v>
      </c>
      <c r="N187" s="17">
        <v>2</v>
      </c>
      <c r="O187" s="346">
        <v>0</v>
      </c>
      <c r="P187" s="17">
        <v>5</v>
      </c>
    </row>
    <row r="188" spans="1:16">
      <c r="A188" s="10" t="str">
        <f t="shared" ca="1" si="6"/>
        <v/>
      </c>
      <c r="B188" s="65" t="s">
        <v>257</v>
      </c>
      <c r="C188" s="350" t="s">
        <v>2220</v>
      </c>
      <c r="D188" s="10" t="s">
        <v>46</v>
      </c>
      <c r="E188" s="353" t="s">
        <v>524</v>
      </c>
      <c r="F188" s="352">
        <v>1</v>
      </c>
      <c r="G188" s="17">
        <f t="shared" si="7"/>
        <v>2487.4692516849968</v>
      </c>
      <c r="H188" s="17">
        <f t="shared" si="8"/>
        <v>0</v>
      </c>
      <c r="I188" s="17">
        <v>2487.4692516849968</v>
      </c>
      <c r="J188" s="17">
        <v>0</v>
      </c>
      <c r="K188" s="17">
        <v>8291.5641722833225</v>
      </c>
      <c r="L188" s="17">
        <v>0</v>
      </c>
      <c r="M188" s="346">
        <v>0.3</v>
      </c>
      <c r="N188" s="17">
        <v>2</v>
      </c>
      <c r="O188" s="346">
        <v>0</v>
      </c>
      <c r="P188" s="17">
        <v>5</v>
      </c>
    </row>
    <row r="189" spans="1:16">
      <c r="A189" s="10" t="str">
        <f t="shared" ca="1" si="6"/>
        <v/>
      </c>
      <c r="B189" s="65" t="s">
        <v>257</v>
      </c>
      <c r="C189" s="350" t="s">
        <v>774</v>
      </c>
      <c r="D189" s="10" t="s">
        <v>46</v>
      </c>
      <c r="E189" s="353" t="s">
        <v>531</v>
      </c>
      <c r="F189" s="352">
        <v>1</v>
      </c>
      <c r="G189" s="17">
        <f t="shared" si="7"/>
        <v>276.38547240944411</v>
      </c>
      <c r="H189" s="17">
        <f t="shared" si="8"/>
        <v>0</v>
      </c>
      <c r="I189" s="17">
        <v>276.38547240944411</v>
      </c>
      <c r="J189" s="17">
        <v>0</v>
      </c>
      <c r="K189" s="17">
        <v>921.28490803148043</v>
      </c>
      <c r="L189" s="17">
        <v>0</v>
      </c>
      <c r="M189" s="346">
        <v>0.3</v>
      </c>
      <c r="N189" s="17">
        <v>2</v>
      </c>
      <c r="O189" s="346">
        <v>0</v>
      </c>
      <c r="P189" s="17">
        <v>5</v>
      </c>
    </row>
    <row r="190" spans="1:16">
      <c r="A190" s="10" t="str">
        <f t="shared" ca="1" si="6"/>
        <v/>
      </c>
      <c r="B190" s="65" t="s">
        <v>257</v>
      </c>
      <c r="C190" s="350" t="s">
        <v>2221</v>
      </c>
      <c r="D190" s="10" t="s">
        <v>46</v>
      </c>
      <c r="E190" s="353" t="s">
        <v>2216</v>
      </c>
      <c r="F190" s="352">
        <v>1</v>
      </c>
      <c r="G190" s="17">
        <f t="shared" si="7"/>
        <v>2293.9994209983856</v>
      </c>
      <c r="H190" s="17">
        <f t="shared" si="8"/>
        <v>0</v>
      </c>
      <c r="I190" s="17">
        <v>2293.9994209983856</v>
      </c>
      <c r="J190" s="17">
        <v>0</v>
      </c>
      <c r="K190" s="17">
        <v>7646.664736661286</v>
      </c>
      <c r="L190" s="17">
        <v>0</v>
      </c>
      <c r="M190" s="346">
        <v>0.3</v>
      </c>
      <c r="N190" s="17">
        <v>2</v>
      </c>
      <c r="O190" s="346">
        <v>0</v>
      </c>
      <c r="P190" s="17">
        <v>5</v>
      </c>
    </row>
    <row r="191" spans="1:16">
      <c r="A191" s="10">
        <f t="shared" ca="1" si="6"/>
        <v>194</v>
      </c>
      <c r="B191" s="65" t="s">
        <v>2142</v>
      </c>
      <c r="C191" s="350" t="s">
        <v>2222</v>
      </c>
      <c r="D191" s="10" t="s">
        <v>46</v>
      </c>
      <c r="E191" s="353" t="s">
        <v>518</v>
      </c>
      <c r="F191" s="352">
        <v>5</v>
      </c>
      <c r="G191" s="17">
        <f t="shared" si="7"/>
        <v>408.48854866822018</v>
      </c>
      <c r="H191" s="17">
        <f t="shared" si="8"/>
        <v>0</v>
      </c>
      <c r="I191" s="17">
        <v>408.48854866822018</v>
      </c>
      <c r="J191" s="17">
        <v>0</v>
      </c>
      <c r="K191" s="17">
        <v>1361.6284955607339</v>
      </c>
      <c r="L191" s="17">
        <v>0</v>
      </c>
      <c r="M191" s="346">
        <v>0.3</v>
      </c>
      <c r="N191" s="17">
        <v>2</v>
      </c>
      <c r="O191" s="346">
        <v>0</v>
      </c>
      <c r="P191" s="17">
        <v>5</v>
      </c>
    </row>
    <row r="192" spans="1:16">
      <c r="A192" s="10" t="str">
        <f t="shared" ca="1" si="6"/>
        <v/>
      </c>
      <c r="B192" s="65" t="s">
        <v>2142</v>
      </c>
      <c r="C192" s="350" t="s">
        <v>2223</v>
      </c>
      <c r="D192" s="10" t="s">
        <v>46</v>
      </c>
      <c r="E192" s="353" t="s">
        <v>523</v>
      </c>
      <c r="F192" s="352">
        <v>5</v>
      </c>
      <c r="G192" s="17">
        <f t="shared" si="7"/>
        <v>45.387616518691132</v>
      </c>
      <c r="H192" s="17">
        <f t="shared" si="8"/>
        <v>0</v>
      </c>
      <c r="I192" s="17">
        <v>45.387616518691132</v>
      </c>
      <c r="J192" s="17">
        <v>0</v>
      </c>
      <c r="K192" s="17">
        <v>151.29205506230377</v>
      </c>
      <c r="L192" s="17">
        <v>0</v>
      </c>
      <c r="M192" s="346">
        <v>0.3</v>
      </c>
      <c r="N192" s="17">
        <v>2</v>
      </c>
      <c r="O192" s="346">
        <v>0</v>
      </c>
      <c r="P192" s="17">
        <v>5</v>
      </c>
    </row>
    <row r="193" spans="1:16">
      <c r="A193" s="10" t="str">
        <f t="shared" ca="1" si="6"/>
        <v/>
      </c>
      <c r="B193" s="65" t="s">
        <v>2142</v>
      </c>
      <c r="C193" s="350" t="s">
        <v>2224</v>
      </c>
      <c r="D193" s="10" t="s">
        <v>46</v>
      </c>
      <c r="E193" s="353" t="s">
        <v>530</v>
      </c>
      <c r="F193" s="352">
        <v>1</v>
      </c>
      <c r="G193" s="17">
        <f t="shared" si="7"/>
        <v>45.387616518691132</v>
      </c>
      <c r="H193" s="17">
        <f t="shared" si="8"/>
        <v>0</v>
      </c>
      <c r="I193" s="17">
        <v>45.387616518691132</v>
      </c>
      <c r="J193" s="17">
        <v>0</v>
      </c>
      <c r="K193" s="17">
        <v>151.29205506230377</v>
      </c>
      <c r="L193" s="17">
        <v>0</v>
      </c>
      <c r="M193" s="346">
        <v>0.3</v>
      </c>
      <c r="N193" s="17">
        <v>2</v>
      </c>
      <c r="O193" s="346">
        <v>0</v>
      </c>
      <c r="P193" s="17">
        <v>5</v>
      </c>
    </row>
    <row r="194" spans="1:16">
      <c r="A194" s="10" t="str">
        <f t="shared" ref="A194:A257" ca="1" si="9">IF(B193=B194,"",ROW(A194)-1+MATCH(B194,INDIRECT("B"&amp;ROW(A194)&amp;":"&amp;"B"&amp;$A$1),1))</f>
        <v/>
      </c>
      <c r="B194" s="65" t="s">
        <v>2142</v>
      </c>
      <c r="C194" s="350" t="s">
        <v>2225</v>
      </c>
      <c r="D194" s="10" t="s">
        <v>46</v>
      </c>
      <c r="E194" s="353" t="s">
        <v>2216</v>
      </c>
      <c r="F194" s="352">
        <v>1</v>
      </c>
      <c r="G194" s="17">
        <f t="shared" ref="G194:G257" si="10">IF($R$2=1,K194,I194)</f>
        <v>376.71721710513634</v>
      </c>
      <c r="H194" s="17">
        <f t="shared" ref="H194:H257" si="11">IF($R$2=1,L194,J194)</f>
        <v>0</v>
      </c>
      <c r="I194" s="17">
        <v>376.71721710513634</v>
      </c>
      <c r="J194" s="17">
        <v>0</v>
      </c>
      <c r="K194" s="17">
        <v>1255.7240570171211</v>
      </c>
      <c r="L194" s="17">
        <v>0</v>
      </c>
      <c r="M194" s="346">
        <v>0.3</v>
      </c>
      <c r="N194" s="17">
        <v>2</v>
      </c>
      <c r="O194" s="346">
        <v>0</v>
      </c>
      <c r="P194" s="17">
        <v>5</v>
      </c>
    </row>
    <row r="195" spans="1:16">
      <c r="A195" s="10">
        <f t="shared" ca="1" si="9"/>
        <v>201</v>
      </c>
      <c r="B195" s="65" t="s">
        <v>2145</v>
      </c>
      <c r="C195" s="350" t="s">
        <v>2226</v>
      </c>
      <c r="D195" s="10" t="s">
        <v>46</v>
      </c>
      <c r="E195" s="353" t="s">
        <v>1989</v>
      </c>
      <c r="F195" s="352">
        <v>1</v>
      </c>
      <c r="G195" s="17">
        <f t="shared" si="10"/>
        <v>34.682120782347134</v>
      </c>
      <c r="H195" s="17">
        <f t="shared" si="11"/>
        <v>0</v>
      </c>
      <c r="I195" s="17">
        <v>34.682120782347134</v>
      </c>
      <c r="J195" s="17">
        <v>0</v>
      </c>
      <c r="K195" s="17">
        <v>115.60706927449044</v>
      </c>
      <c r="L195" s="17">
        <v>0</v>
      </c>
      <c r="M195" s="346">
        <v>0.3</v>
      </c>
      <c r="N195" s="17">
        <v>2</v>
      </c>
      <c r="O195" s="346">
        <v>0</v>
      </c>
      <c r="P195" s="17">
        <v>5</v>
      </c>
    </row>
    <row r="196" spans="1:16">
      <c r="A196" s="10" t="str">
        <f t="shared" ca="1" si="9"/>
        <v/>
      </c>
      <c r="B196" s="65" t="s">
        <v>2145</v>
      </c>
      <c r="C196" s="350" t="s">
        <v>2227</v>
      </c>
      <c r="D196" s="10" t="s">
        <v>46</v>
      </c>
      <c r="E196" s="353" t="s">
        <v>518</v>
      </c>
      <c r="F196" s="352">
        <v>1</v>
      </c>
      <c r="G196" s="17">
        <f t="shared" si="10"/>
        <v>312.13908704112418</v>
      </c>
      <c r="H196" s="17">
        <f t="shared" si="11"/>
        <v>0</v>
      </c>
      <c r="I196" s="17">
        <v>312.13908704112418</v>
      </c>
      <c r="J196" s="17">
        <v>0</v>
      </c>
      <c r="K196" s="17">
        <v>1040.4636234704139</v>
      </c>
      <c r="L196" s="17">
        <v>0</v>
      </c>
      <c r="M196" s="346">
        <v>0.3</v>
      </c>
      <c r="N196" s="17">
        <v>2</v>
      </c>
      <c r="O196" s="346">
        <v>0</v>
      </c>
      <c r="P196" s="17">
        <v>5</v>
      </c>
    </row>
    <row r="197" spans="1:16">
      <c r="A197" s="10" t="str">
        <f t="shared" ca="1" si="9"/>
        <v/>
      </c>
      <c r="B197" s="65" t="s">
        <v>2145</v>
      </c>
      <c r="C197" s="350" t="s">
        <v>2228</v>
      </c>
      <c r="D197" s="10" t="s">
        <v>46</v>
      </c>
      <c r="E197" s="353" t="s">
        <v>520</v>
      </c>
      <c r="F197" s="352">
        <v>1</v>
      </c>
      <c r="G197" s="17">
        <f t="shared" si="10"/>
        <v>52.02318117352069</v>
      </c>
      <c r="H197" s="17">
        <f t="shared" si="11"/>
        <v>0</v>
      </c>
      <c r="I197" s="17">
        <v>52.02318117352069</v>
      </c>
      <c r="J197" s="17">
        <v>0</v>
      </c>
      <c r="K197" s="17">
        <v>173.41060391173565</v>
      </c>
      <c r="L197" s="17">
        <v>0</v>
      </c>
      <c r="M197" s="346">
        <v>0.3</v>
      </c>
      <c r="N197" s="17">
        <v>2</v>
      </c>
      <c r="O197" s="346">
        <v>0</v>
      </c>
      <c r="P197" s="17">
        <v>5</v>
      </c>
    </row>
    <row r="198" spans="1:16">
      <c r="A198" s="10" t="str">
        <f t="shared" ca="1" si="9"/>
        <v/>
      </c>
      <c r="B198" s="65" t="s">
        <v>2145</v>
      </c>
      <c r="C198" s="350" t="s">
        <v>2229</v>
      </c>
      <c r="D198" s="10" t="s">
        <v>46</v>
      </c>
      <c r="E198" s="353" t="s">
        <v>2014</v>
      </c>
      <c r="F198" s="352">
        <v>1</v>
      </c>
      <c r="G198" s="17">
        <f t="shared" si="10"/>
        <v>34.682120782347134</v>
      </c>
      <c r="H198" s="17">
        <f t="shared" si="11"/>
        <v>0</v>
      </c>
      <c r="I198" s="17">
        <v>34.682120782347134</v>
      </c>
      <c r="J198" s="17">
        <v>0</v>
      </c>
      <c r="K198" s="17">
        <v>115.60706927449044</v>
      </c>
      <c r="L198" s="17">
        <v>0</v>
      </c>
      <c r="M198" s="346">
        <v>0.3</v>
      </c>
      <c r="N198" s="17">
        <v>2</v>
      </c>
      <c r="O198" s="346">
        <v>0</v>
      </c>
      <c r="P198" s="17">
        <v>5</v>
      </c>
    </row>
    <row r="199" spans="1:16">
      <c r="A199" s="10" t="str">
        <f t="shared" ca="1" si="9"/>
        <v/>
      </c>
      <c r="B199" s="65" t="s">
        <v>2145</v>
      </c>
      <c r="C199" s="350" t="s">
        <v>2230</v>
      </c>
      <c r="D199" s="10" t="s">
        <v>46</v>
      </c>
      <c r="E199" s="353" t="s">
        <v>523</v>
      </c>
      <c r="F199" s="352">
        <v>5</v>
      </c>
      <c r="G199" s="17">
        <f t="shared" si="10"/>
        <v>34.682120782347134</v>
      </c>
      <c r="H199" s="17">
        <f t="shared" si="11"/>
        <v>0</v>
      </c>
      <c r="I199" s="17">
        <v>34.682120782347134</v>
      </c>
      <c r="J199" s="17">
        <v>0</v>
      </c>
      <c r="K199" s="17">
        <v>115.60706927449044</v>
      </c>
      <c r="L199" s="17">
        <v>0</v>
      </c>
      <c r="M199" s="346">
        <v>0.3</v>
      </c>
      <c r="N199" s="17">
        <v>2</v>
      </c>
      <c r="O199" s="346">
        <v>0</v>
      </c>
      <c r="P199" s="17">
        <v>5</v>
      </c>
    </row>
    <row r="200" spans="1:16">
      <c r="A200" s="10" t="str">
        <f t="shared" ca="1" si="9"/>
        <v/>
      </c>
      <c r="B200" s="65" t="s">
        <v>2145</v>
      </c>
      <c r="C200" s="350" t="s">
        <v>2231</v>
      </c>
      <c r="D200" s="10" t="s">
        <v>46</v>
      </c>
      <c r="E200" s="353" t="s">
        <v>530</v>
      </c>
      <c r="F200" s="352">
        <v>1</v>
      </c>
      <c r="G200" s="17">
        <f t="shared" si="10"/>
        <v>34.682120782347134</v>
      </c>
      <c r="H200" s="17">
        <f t="shared" si="11"/>
        <v>0</v>
      </c>
      <c r="I200" s="17">
        <v>34.682120782347134</v>
      </c>
      <c r="J200" s="17">
        <v>0</v>
      </c>
      <c r="K200" s="17">
        <v>115.60706927449044</v>
      </c>
      <c r="L200" s="17">
        <v>0</v>
      </c>
      <c r="M200" s="346">
        <v>0.3</v>
      </c>
      <c r="N200" s="17">
        <v>2</v>
      </c>
      <c r="O200" s="346">
        <v>0</v>
      </c>
      <c r="P200" s="17">
        <v>5</v>
      </c>
    </row>
    <row r="201" spans="1:16">
      <c r="A201" s="10" t="str">
        <f t="shared" ca="1" si="9"/>
        <v/>
      </c>
      <c r="B201" s="65" t="s">
        <v>2145</v>
      </c>
      <c r="C201" s="350" t="s">
        <v>2232</v>
      </c>
      <c r="D201" s="10" t="s">
        <v>46</v>
      </c>
      <c r="E201" s="353" t="s">
        <v>2216</v>
      </c>
      <c r="F201" s="352">
        <v>1</v>
      </c>
      <c r="G201" s="17">
        <f t="shared" si="10"/>
        <v>287.86160249348114</v>
      </c>
      <c r="H201" s="17">
        <f t="shared" si="11"/>
        <v>0</v>
      </c>
      <c r="I201" s="17">
        <v>287.86160249348114</v>
      </c>
      <c r="J201" s="17">
        <v>0</v>
      </c>
      <c r="K201" s="17">
        <v>959.53867497827059</v>
      </c>
      <c r="L201" s="17">
        <v>0</v>
      </c>
      <c r="M201" s="346">
        <v>0.3</v>
      </c>
      <c r="N201" s="17">
        <v>2</v>
      </c>
      <c r="O201" s="346">
        <v>0</v>
      </c>
      <c r="P201" s="17">
        <v>5</v>
      </c>
    </row>
    <row r="202" spans="1:16">
      <c r="A202" s="10">
        <f t="shared" ca="1" si="9"/>
        <v>205</v>
      </c>
      <c r="B202" s="65" t="s">
        <v>2147</v>
      </c>
      <c r="C202" s="350" t="s">
        <v>2233</v>
      </c>
      <c r="D202" s="10" t="s">
        <v>46</v>
      </c>
      <c r="E202" s="353" t="s">
        <v>518</v>
      </c>
      <c r="F202" s="352">
        <v>1</v>
      </c>
      <c r="G202" s="17">
        <f t="shared" si="10"/>
        <v>176.64508069561646</v>
      </c>
      <c r="H202" s="17">
        <f t="shared" si="11"/>
        <v>0</v>
      </c>
      <c r="I202" s="17">
        <v>176.64508069561646</v>
      </c>
      <c r="J202" s="17">
        <v>0</v>
      </c>
      <c r="K202" s="17">
        <v>588.81693565205489</v>
      </c>
      <c r="L202" s="17">
        <v>0</v>
      </c>
      <c r="M202" s="346">
        <v>0.3</v>
      </c>
      <c r="N202" s="17">
        <v>2</v>
      </c>
      <c r="O202" s="346">
        <v>0</v>
      </c>
      <c r="P202" s="17">
        <v>5</v>
      </c>
    </row>
    <row r="203" spans="1:16">
      <c r="A203" s="10" t="str">
        <f t="shared" ca="1" si="9"/>
        <v/>
      </c>
      <c r="B203" s="65" t="s">
        <v>2147</v>
      </c>
      <c r="C203" s="350" t="s">
        <v>2234</v>
      </c>
      <c r="D203" s="10" t="s">
        <v>46</v>
      </c>
      <c r="E203" s="353" t="s">
        <v>523</v>
      </c>
      <c r="F203" s="352">
        <v>5</v>
      </c>
      <c r="G203" s="17">
        <f t="shared" si="10"/>
        <v>19.627231188401826</v>
      </c>
      <c r="H203" s="17">
        <f t="shared" si="11"/>
        <v>0</v>
      </c>
      <c r="I203" s="17">
        <v>19.627231188401826</v>
      </c>
      <c r="J203" s="17">
        <v>0</v>
      </c>
      <c r="K203" s="17">
        <v>65.424103961339426</v>
      </c>
      <c r="L203" s="17">
        <v>0</v>
      </c>
      <c r="M203" s="346">
        <v>0.3</v>
      </c>
      <c r="N203" s="17">
        <v>2</v>
      </c>
      <c r="O203" s="346">
        <v>0</v>
      </c>
      <c r="P203" s="17">
        <v>5</v>
      </c>
    </row>
    <row r="204" spans="1:16">
      <c r="A204" s="10" t="str">
        <f t="shared" ca="1" si="9"/>
        <v/>
      </c>
      <c r="B204" s="65" t="s">
        <v>2147</v>
      </c>
      <c r="C204" s="350" t="s">
        <v>2235</v>
      </c>
      <c r="D204" s="10" t="s">
        <v>46</v>
      </c>
      <c r="E204" s="353" t="s">
        <v>530</v>
      </c>
      <c r="F204" s="352">
        <v>1</v>
      </c>
      <c r="G204" s="17">
        <f t="shared" si="10"/>
        <v>19.627231188401826</v>
      </c>
      <c r="H204" s="17">
        <f t="shared" si="11"/>
        <v>0</v>
      </c>
      <c r="I204" s="17">
        <v>19.627231188401826</v>
      </c>
      <c r="J204" s="17">
        <v>0</v>
      </c>
      <c r="K204" s="17">
        <v>65.424103961339426</v>
      </c>
      <c r="L204" s="17">
        <v>0</v>
      </c>
      <c r="M204" s="346">
        <v>0.3</v>
      </c>
      <c r="N204" s="17">
        <v>2</v>
      </c>
      <c r="O204" s="346">
        <v>0</v>
      </c>
      <c r="P204" s="17">
        <v>5</v>
      </c>
    </row>
    <row r="205" spans="1:16">
      <c r="A205" s="10" t="str">
        <f t="shared" ca="1" si="9"/>
        <v/>
      </c>
      <c r="B205" s="65" t="s">
        <v>2147</v>
      </c>
      <c r="C205" s="350" t="s">
        <v>2236</v>
      </c>
      <c r="D205" s="10" t="s">
        <v>46</v>
      </c>
      <c r="E205" s="353" t="s">
        <v>2216</v>
      </c>
      <c r="F205" s="352">
        <v>1</v>
      </c>
      <c r="G205" s="17">
        <f t="shared" si="10"/>
        <v>176.64508069561646</v>
      </c>
      <c r="H205" s="17">
        <f t="shared" si="11"/>
        <v>0</v>
      </c>
      <c r="I205" s="17">
        <v>176.64508069561646</v>
      </c>
      <c r="J205" s="17">
        <v>0</v>
      </c>
      <c r="K205" s="17">
        <v>588.81693565205489</v>
      </c>
      <c r="L205" s="17">
        <v>0</v>
      </c>
      <c r="M205" s="346">
        <v>0.3</v>
      </c>
      <c r="N205" s="17">
        <v>2</v>
      </c>
      <c r="O205" s="346">
        <v>0</v>
      </c>
      <c r="P205" s="17">
        <v>5</v>
      </c>
    </row>
    <row r="206" spans="1:16">
      <c r="A206" s="10">
        <f t="shared" ca="1" si="9"/>
        <v>207</v>
      </c>
      <c r="B206" s="65" t="s">
        <v>2149</v>
      </c>
      <c r="C206" s="350" t="s">
        <v>2237</v>
      </c>
      <c r="D206" s="10" t="s">
        <v>46</v>
      </c>
      <c r="E206" s="353" t="s">
        <v>518</v>
      </c>
      <c r="F206" s="352">
        <v>1</v>
      </c>
      <c r="G206" s="17">
        <f t="shared" si="10"/>
        <v>709.92238651985463</v>
      </c>
      <c r="H206" s="17">
        <f t="shared" si="11"/>
        <v>0</v>
      </c>
      <c r="I206" s="17">
        <v>709.92238651985463</v>
      </c>
      <c r="J206" s="17">
        <v>0</v>
      </c>
      <c r="K206" s="17">
        <v>2366.4079550661822</v>
      </c>
      <c r="L206" s="17">
        <v>0</v>
      </c>
      <c r="M206" s="346">
        <v>0.3</v>
      </c>
      <c r="N206" s="17">
        <v>2</v>
      </c>
      <c r="O206" s="346">
        <v>0</v>
      </c>
      <c r="P206" s="17">
        <v>5</v>
      </c>
    </row>
    <row r="207" spans="1:16">
      <c r="A207" s="10" t="str">
        <f t="shared" ca="1" si="9"/>
        <v/>
      </c>
      <c r="B207" s="65" t="s">
        <v>2149</v>
      </c>
      <c r="C207" s="350" t="s">
        <v>2238</v>
      </c>
      <c r="D207" s="10" t="s">
        <v>46</v>
      </c>
      <c r="E207" s="353" t="s">
        <v>523</v>
      </c>
      <c r="F207" s="352">
        <v>1</v>
      </c>
      <c r="G207" s="17">
        <f t="shared" si="10"/>
        <v>157.76053033774545</v>
      </c>
      <c r="H207" s="17">
        <f t="shared" si="11"/>
        <v>0</v>
      </c>
      <c r="I207" s="17">
        <v>157.76053033774545</v>
      </c>
      <c r="J207" s="17">
        <v>0</v>
      </c>
      <c r="K207" s="17">
        <v>525.86843445915156</v>
      </c>
      <c r="L207" s="17">
        <v>0</v>
      </c>
      <c r="M207" s="346">
        <v>0.3</v>
      </c>
      <c r="N207" s="17">
        <v>2</v>
      </c>
      <c r="O207" s="346">
        <v>0</v>
      </c>
      <c r="P207" s="17">
        <v>5</v>
      </c>
    </row>
    <row r="208" spans="1:16">
      <c r="A208" s="10">
        <f t="shared" ca="1" si="9"/>
        <v>210</v>
      </c>
      <c r="B208" s="65" t="s">
        <v>243</v>
      </c>
      <c r="C208" s="350" t="s">
        <v>775</v>
      </c>
      <c r="D208" s="10" t="s">
        <v>46</v>
      </c>
      <c r="E208" s="353" t="s">
        <v>531</v>
      </c>
      <c r="F208" s="352">
        <v>1</v>
      </c>
      <c r="G208" s="17">
        <f t="shared" si="10"/>
        <v>33.896669985934473</v>
      </c>
      <c r="H208" s="17">
        <f t="shared" si="11"/>
        <v>0</v>
      </c>
      <c r="I208" s="17">
        <v>33.896669985934473</v>
      </c>
      <c r="J208" s="17">
        <v>0</v>
      </c>
      <c r="K208" s="17">
        <v>112.98889995311491</v>
      </c>
      <c r="L208" s="17">
        <v>0</v>
      </c>
      <c r="M208" s="346">
        <v>0.3</v>
      </c>
      <c r="N208" s="17">
        <v>2</v>
      </c>
      <c r="O208" s="346">
        <v>0</v>
      </c>
      <c r="P208" s="17">
        <v>5</v>
      </c>
    </row>
    <row r="209" spans="1:16">
      <c r="A209" s="10" t="str">
        <f t="shared" ca="1" si="9"/>
        <v/>
      </c>
      <c r="B209" s="65" t="s">
        <v>243</v>
      </c>
      <c r="C209" s="350" t="s">
        <v>2012</v>
      </c>
      <c r="D209" s="10" t="s">
        <v>46</v>
      </c>
      <c r="E209" s="353" t="s">
        <v>2239</v>
      </c>
      <c r="F209" s="352">
        <v>1</v>
      </c>
      <c r="G209" s="17">
        <f t="shared" si="10"/>
        <v>203.38001991560685</v>
      </c>
      <c r="H209" s="17">
        <f t="shared" si="11"/>
        <v>0</v>
      </c>
      <c r="I209" s="17">
        <v>203.38001991560685</v>
      </c>
      <c r="J209" s="17">
        <v>0</v>
      </c>
      <c r="K209" s="17">
        <v>677.93339971868954</v>
      </c>
      <c r="L209" s="17">
        <v>0</v>
      </c>
      <c r="M209" s="346">
        <v>0.3</v>
      </c>
      <c r="N209" s="17">
        <v>2</v>
      </c>
      <c r="O209" s="346">
        <v>0</v>
      </c>
      <c r="P209" s="17">
        <v>5</v>
      </c>
    </row>
    <row r="210" spans="1:16">
      <c r="A210" s="10" t="str">
        <f t="shared" ca="1" si="9"/>
        <v/>
      </c>
      <c r="B210" s="65" t="s">
        <v>243</v>
      </c>
      <c r="C210" s="350" t="s">
        <v>2013</v>
      </c>
      <c r="D210" s="10" t="s">
        <v>46</v>
      </c>
      <c r="E210" s="353" t="s">
        <v>502</v>
      </c>
      <c r="F210" s="352">
        <v>2</v>
      </c>
      <c r="G210" s="17">
        <f t="shared" si="10"/>
        <v>10.169000995780342</v>
      </c>
      <c r="H210" s="17">
        <f t="shared" si="11"/>
        <v>0</v>
      </c>
      <c r="I210" s="17">
        <v>10.169000995780342</v>
      </c>
      <c r="J210" s="17">
        <v>0</v>
      </c>
      <c r="K210" s="17">
        <v>112.98889995311491</v>
      </c>
      <c r="L210" s="17">
        <v>0</v>
      </c>
      <c r="M210" s="346">
        <v>0.3</v>
      </c>
      <c r="N210" s="17">
        <v>2</v>
      </c>
      <c r="O210" s="346">
        <v>0</v>
      </c>
      <c r="P210" s="17">
        <v>5</v>
      </c>
    </row>
    <row r="211" spans="1:16">
      <c r="A211" s="10">
        <f t="shared" ca="1" si="9"/>
        <v>211</v>
      </c>
      <c r="B211" s="65" t="s">
        <v>466</v>
      </c>
      <c r="C211" s="350" t="s">
        <v>776</v>
      </c>
      <c r="D211" s="10" t="s">
        <v>46</v>
      </c>
      <c r="E211" s="353" t="s">
        <v>531</v>
      </c>
      <c r="F211" s="352">
        <v>8</v>
      </c>
      <c r="G211" s="17">
        <f t="shared" si="10"/>
        <v>14.28539575553096</v>
      </c>
      <c r="H211" s="17">
        <f t="shared" si="11"/>
        <v>0</v>
      </c>
      <c r="I211" s="17">
        <v>14.28539575553096</v>
      </c>
      <c r="J211" s="17">
        <v>0</v>
      </c>
      <c r="K211" s="17">
        <v>47.617985851769866</v>
      </c>
      <c r="L211" s="17">
        <v>0</v>
      </c>
      <c r="M211" s="346">
        <v>0.3</v>
      </c>
      <c r="N211" s="17">
        <v>2</v>
      </c>
      <c r="O211" s="346">
        <v>0</v>
      </c>
      <c r="P211" s="17">
        <v>5</v>
      </c>
    </row>
    <row r="212" spans="1:16">
      <c r="A212" s="10">
        <f t="shared" ca="1" si="9"/>
        <v>221</v>
      </c>
      <c r="B212" s="65" t="s">
        <v>271</v>
      </c>
      <c r="C212" s="350" t="s">
        <v>777</v>
      </c>
      <c r="D212" s="10" t="s">
        <v>46</v>
      </c>
      <c r="E212" s="353" t="s">
        <v>531</v>
      </c>
      <c r="F212" s="352">
        <v>1</v>
      </c>
      <c r="G212" s="17">
        <f t="shared" si="10"/>
        <v>105.33420614095873</v>
      </c>
      <c r="H212" s="17">
        <f t="shared" si="11"/>
        <v>0</v>
      </c>
      <c r="I212" s="17">
        <v>105.33420614095873</v>
      </c>
      <c r="J212" s="17">
        <v>0</v>
      </c>
      <c r="K212" s="17">
        <v>351.11402046986245</v>
      </c>
      <c r="L212" s="17">
        <v>0</v>
      </c>
      <c r="M212" s="346">
        <v>0.3</v>
      </c>
      <c r="N212" s="17">
        <v>2</v>
      </c>
      <c r="O212" s="346">
        <v>0</v>
      </c>
      <c r="P212" s="17">
        <v>5</v>
      </c>
    </row>
    <row r="213" spans="1:16">
      <c r="A213" s="10" t="str">
        <f t="shared" ca="1" si="9"/>
        <v/>
      </c>
      <c r="B213" s="65" t="s">
        <v>271</v>
      </c>
      <c r="C213" s="350" t="s">
        <v>2015</v>
      </c>
      <c r="D213" s="10" t="s">
        <v>46</v>
      </c>
      <c r="E213" s="353" t="s">
        <v>2239</v>
      </c>
      <c r="F213" s="352">
        <v>1</v>
      </c>
      <c r="G213" s="17">
        <f t="shared" si="10"/>
        <v>617.96067602695791</v>
      </c>
      <c r="H213" s="17">
        <f t="shared" si="11"/>
        <v>0</v>
      </c>
      <c r="I213" s="17">
        <v>617.96067602695791</v>
      </c>
      <c r="J213" s="17">
        <v>0</v>
      </c>
      <c r="K213" s="17">
        <v>2059.8689200898598</v>
      </c>
      <c r="L213" s="17">
        <v>0</v>
      </c>
      <c r="M213" s="346">
        <v>0.3</v>
      </c>
      <c r="N213" s="17">
        <v>2</v>
      </c>
      <c r="O213" s="346">
        <v>0</v>
      </c>
      <c r="P213" s="17">
        <v>5</v>
      </c>
    </row>
    <row r="214" spans="1:16">
      <c r="A214" s="10" t="str">
        <f t="shared" ca="1" si="9"/>
        <v/>
      </c>
      <c r="B214" s="65" t="s">
        <v>271</v>
      </c>
      <c r="C214" s="350" t="s">
        <v>778</v>
      </c>
      <c r="D214" s="10" t="s">
        <v>46</v>
      </c>
      <c r="E214" s="353" t="s">
        <v>540</v>
      </c>
      <c r="F214" s="352">
        <v>1</v>
      </c>
      <c r="G214" s="17">
        <f t="shared" si="10"/>
        <v>105.33420614095873</v>
      </c>
      <c r="H214" s="17">
        <f t="shared" si="11"/>
        <v>0</v>
      </c>
      <c r="I214" s="17">
        <v>105.33420614095873</v>
      </c>
      <c r="J214" s="17">
        <v>0</v>
      </c>
      <c r="K214" s="17">
        <v>351.11402046986245</v>
      </c>
      <c r="L214" s="17">
        <v>0</v>
      </c>
      <c r="M214" s="346">
        <v>0.3</v>
      </c>
      <c r="N214" s="17">
        <v>2</v>
      </c>
      <c r="O214" s="346">
        <v>0</v>
      </c>
      <c r="P214" s="17">
        <v>5</v>
      </c>
    </row>
    <row r="215" spans="1:16">
      <c r="A215" s="10" t="str">
        <f t="shared" ca="1" si="9"/>
        <v/>
      </c>
      <c r="B215" s="65" t="s">
        <v>271</v>
      </c>
      <c r="C215" s="350" t="s">
        <v>779</v>
      </c>
      <c r="D215" s="10" t="s">
        <v>46</v>
      </c>
      <c r="E215" s="353" t="s">
        <v>532</v>
      </c>
      <c r="F215" s="352">
        <v>1</v>
      </c>
      <c r="G215" s="17">
        <f t="shared" si="10"/>
        <v>105.33420614095873</v>
      </c>
      <c r="H215" s="17">
        <f t="shared" si="11"/>
        <v>0</v>
      </c>
      <c r="I215" s="17">
        <v>105.33420614095873</v>
      </c>
      <c r="J215" s="17">
        <v>0</v>
      </c>
      <c r="K215" s="17">
        <v>351.11402046986245</v>
      </c>
      <c r="L215" s="17">
        <v>0</v>
      </c>
      <c r="M215" s="346">
        <v>0.3</v>
      </c>
      <c r="N215" s="17">
        <v>2</v>
      </c>
      <c r="O215" s="346">
        <v>0</v>
      </c>
      <c r="P215" s="17">
        <v>5</v>
      </c>
    </row>
    <row r="216" spans="1:16">
      <c r="A216" s="10" t="str">
        <f t="shared" ca="1" si="9"/>
        <v/>
      </c>
      <c r="B216" s="65" t="s">
        <v>271</v>
      </c>
      <c r="C216" s="350" t="s">
        <v>2016</v>
      </c>
      <c r="D216" s="10" t="s">
        <v>46</v>
      </c>
      <c r="E216" s="353" t="s">
        <v>2001</v>
      </c>
      <c r="F216" s="352">
        <v>1</v>
      </c>
      <c r="G216" s="17">
        <f t="shared" si="10"/>
        <v>105.33420614095873</v>
      </c>
      <c r="H216" s="17">
        <f t="shared" si="11"/>
        <v>0</v>
      </c>
      <c r="I216" s="17">
        <v>105.33420614095873</v>
      </c>
      <c r="J216" s="17">
        <v>0</v>
      </c>
      <c r="K216" s="17">
        <v>351.11402046986245</v>
      </c>
      <c r="L216" s="17">
        <v>0</v>
      </c>
      <c r="M216" s="346">
        <v>0.3</v>
      </c>
      <c r="N216" s="17">
        <v>2</v>
      </c>
      <c r="O216" s="346">
        <v>0</v>
      </c>
      <c r="P216" s="17">
        <v>5</v>
      </c>
    </row>
    <row r="217" spans="1:16">
      <c r="A217" s="10" t="str">
        <f t="shared" ca="1" si="9"/>
        <v/>
      </c>
      <c r="B217" s="65" t="s">
        <v>271</v>
      </c>
      <c r="C217" s="350" t="s">
        <v>780</v>
      </c>
      <c r="D217" s="10" t="s">
        <v>46</v>
      </c>
      <c r="E217" s="353" t="s">
        <v>533</v>
      </c>
      <c r="F217" s="352">
        <v>1</v>
      </c>
      <c r="G217" s="17">
        <f t="shared" si="10"/>
        <v>35.11140204698625</v>
      </c>
      <c r="H217" s="17">
        <f t="shared" si="11"/>
        <v>0</v>
      </c>
      <c r="I217" s="17">
        <v>35.11140204698625</v>
      </c>
      <c r="J217" s="17">
        <v>0</v>
      </c>
      <c r="K217" s="17">
        <v>117.0380068232875</v>
      </c>
      <c r="L217" s="17">
        <v>0</v>
      </c>
      <c r="M217" s="346">
        <v>0.3</v>
      </c>
      <c r="N217" s="17">
        <v>2</v>
      </c>
      <c r="O217" s="346">
        <v>0</v>
      </c>
      <c r="P217" s="17">
        <v>5</v>
      </c>
    </row>
    <row r="218" spans="1:16">
      <c r="A218" s="10" t="str">
        <f t="shared" ca="1" si="9"/>
        <v/>
      </c>
      <c r="B218" s="65" t="s">
        <v>271</v>
      </c>
      <c r="C218" s="350" t="s">
        <v>781</v>
      </c>
      <c r="D218" s="10" t="s">
        <v>46</v>
      </c>
      <c r="E218" s="353" t="s">
        <v>528</v>
      </c>
      <c r="F218" s="352">
        <v>1</v>
      </c>
      <c r="G218" s="17">
        <f t="shared" si="10"/>
        <v>105.33420614095873</v>
      </c>
      <c r="H218" s="17">
        <f t="shared" si="11"/>
        <v>0</v>
      </c>
      <c r="I218" s="17">
        <v>105.33420614095873</v>
      </c>
      <c r="J218" s="17">
        <v>0</v>
      </c>
      <c r="K218" s="17">
        <v>351.11402046986245</v>
      </c>
      <c r="L218" s="17">
        <v>0</v>
      </c>
      <c r="M218" s="346">
        <v>0.3</v>
      </c>
      <c r="N218" s="17">
        <v>2</v>
      </c>
      <c r="O218" s="346">
        <v>0</v>
      </c>
      <c r="P218" s="17">
        <v>5</v>
      </c>
    </row>
    <row r="219" spans="1:16">
      <c r="A219" s="10" t="str">
        <f t="shared" ca="1" si="9"/>
        <v/>
      </c>
      <c r="B219" s="65" t="s">
        <v>271</v>
      </c>
      <c r="C219" s="350" t="s">
        <v>782</v>
      </c>
      <c r="D219" s="10" t="s">
        <v>46</v>
      </c>
      <c r="E219" s="353" t="s">
        <v>541</v>
      </c>
      <c r="F219" s="352">
        <v>5</v>
      </c>
      <c r="G219" s="17">
        <f t="shared" si="10"/>
        <v>105.33420614095873</v>
      </c>
      <c r="H219" s="17">
        <f t="shared" si="11"/>
        <v>0</v>
      </c>
      <c r="I219" s="17">
        <v>105.33420614095873</v>
      </c>
      <c r="J219" s="17">
        <v>0</v>
      </c>
      <c r="K219" s="17">
        <v>351.11402046986245</v>
      </c>
      <c r="L219" s="17">
        <v>0</v>
      </c>
      <c r="M219" s="346">
        <v>0.3</v>
      </c>
      <c r="N219" s="17">
        <v>2</v>
      </c>
      <c r="O219" s="346">
        <v>0</v>
      </c>
      <c r="P219" s="17">
        <v>5</v>
      </c>
    </row>
    <row r="220" spans="1:16">
      <c r="A220" s="10" t="str">
        <f t="shared" ca="1" si="9"/>
        <v/>
      </c>
      <c r="B220" s="65" t="s">
        <v>271</v>
      </c>
      <c r="C220" s="350" t="s">
        <v>2017</v>
      </c>
      <c r="D220" s="10" t="s">
        <v>46</v>
      </c>
      <c r="E220" s="353" t="s">
        <v>551</v>
      </c>
      <c r="F220" s="352">
        <v>2</v>
      </c>
      <c r="G220" s="17">
        <f t="shared" si="10"/>
        <v>21.066841228191748</v>
      </c>
      <c r="H220" s="17">
        <f t="shared" si="11"/>
        <v>0</v>
      </c>
      <c r="I220" s="17">
        <v>21.066841228191748</v>
      </c>
      <c r="J220" s="17">
        <v>0</v>
      </c>
      <c r="K220" s="17">
        <v>234.07601364657501</v>
      </c>
      <c r="L220" s="17">
        <v>0</v>
      </c>
      <c r="M220" s="346">
        <v>0.3</v>
      </c>
      <c r="N220" s="17">
        <v>2</v>
      </c>
      <c r="O220" s="346">
        <v>0</v>
      </c>
      <c r="P220" s="17">
        <v>5</v>
      </c>
    </row>
    <row r="221" spans="1:16">
      <c r="A221" s="10" t="str">
        <f t="shared" ca="1" si="9"/>
        <v/>
      </c>
      <c r="B221" s="65" t="s">
        <v>271</v>
      </c>
      <c r="C221" s="350" t="s">
        <v>783</v>
      </c>
      <c r="D221" s="10" t="s">
        <v>46</v>
      </c>
      <c r="E221" s="353" t="s">
        <v>542</v>
      </c>
      <c r="F221" s="352">
        <v>1</v>
      </c>
      <c r="G221" s="17">
        <f t="shared" si="10"/>
        <v>105.33420614095873</v>
      </c>
      <c r="H221" s="17">
        <f t="shared" si="11"/>
        <v>0</v>
      </c>
      <c r="I221" s="17">
        <v>105.33420614095873</v>
      </c>
      <c r="J221" s="17">
        <v>0</v>
      </c>
      <c r="K221" s="17">
        <v>351.11402046986245</v>
      </c>
      <c r="L221" s="17">
        <v>0</v>
      </c>
      <c r="M221" s="346">
        <v>0.3</v>
      </c>
      <c r="N221" s="17">
        <v>2</v>
      </c>
      <c r="O221" s="346">
        <v>0</v>
      </c>
      <c r="P221" s="17">
        <v>5</v>
      </c>
    </row>
    <row r="222" spans="1:16">
      <c r="A222" s="10">
        <f t="shared" ca="1" si="9"/>
        <v>222</v>
      </c>
      <c r="B222" s="65" t="s">
        <v>1935</v>
      </c>
      <c r="C222" s="350" t="s">
        <v>2240</v>
      </c>
      <c r="D222" s="10" t="s">
        <v>47</v>
      </c>
      <c r="E222" s="353" t="s">
        <v>2173</v>
      </c>
      <c r="F222" s="352">
        <v>1</v>
      </c>
      <c r="G222" s="17">
        <f t="shared" si="10"/>
        <v>33.695999999999998</v>
      </c>
      <c r="H222" s="17">
        <f t="shared" si="11"/>
        <v>0</v>
      </c>
      <c r="I222" s="17">
        <v>33.695999999999998</v>
      </c>
      <c r="J222" s="17">
        <v>0</v>
      </c>
      <c r="K222" s="17">
        <v>112.32</v>
      </c>
      <c r="L222" s="17">
        <v>0</v>
      </c>
      <c r="M222" s="346">
        <v>0.3</v>
      </c>
      <c r="N222" s="17">
        <v>2</v>
      </c>
      <c r="O222" s="346">
        <v>0</v>
      </c>
      <c r="P222" s="17">
        <v>5</v>
      </c>
    </row>
    <row r="223" spans="1:16">
      <c r="A223" s="10">
        <f t="shared" ca="1" si="9"/>
        <v>232</v>
      </c>
      <c r="B223" s="65" t="s">
        <v>282</v>
      </c>
      <c r="C223" s="350" t="s">
        <v>784</v>
      </c>
      <c r="D223" s="10" t="s">
        <v>47</v>
      </c>
      <c r="E223" s="353" t="s">
        <v>543</v>
      </c>
      <c r="F223" s="352">
        <v>1</v>
      </c>
      <c r="G223" s="17">
        <f t="shared" si="10"/>
        <v>130.72019196030323</v>
      </c>
      <c r="H223" s="17">
        <f t="shared" si="11"/>
        <v>0</v>
      </c>
      <c r="I223" s="17">
        <v>130.72019196030323</v>
      </c>
      <c r="J223" s="17">
        <v>0</v>
      </c>
      <c r="K223" s="17">
        <v>435.73397320101077</v>
      </c>
      <c r="L223" s="17">
        <v>0</v>
      </c>
      <c r="M223" s="346">
        <v>0.3</v>
      </c>
      <c r="N223" s="17">
        <v>2</v>
      </c>
      <c r="O223" s="346">
        <v>0</v>
      </c>
      <c r="P223" s="17">
        <v>5</v>
      </c>
    </row>
    <row r="224" spans="1:16">
      <c r="A224" s="10" t="str">
        <f t="shared" ca="1" si="9"/>
        <v/>
      </c>
      <c r="B224" s="65" t="s">
        <v>282</v>
      </c>
      <c r="C224" s="350" t="s">
        <v>785</v>
      </c>
      <c r="D224" s="10" t="s">
        <v>47</v>
      </c>
      <c r="E224" s="353" t="s">
        <v>544</v>
      </c>
      <c r="F224" s="352">
        <v>2</v>
      </c>
      <c r="G224" s="17">
        <f t="shared" si="10"/>
        <v>39.216057588090969</v>
      </c>
      <c r="H224" s="17">
        <f t="shared" si="11"/>
        <v>0</v>
      </c>
      <c r="I224" s="17">
        <v>39.216057588090969</v>
      </c>
      <c r="J224" s="17">
        <v>0</v>
      </c>
      <c r="K224" s="17">
        <v>435.73397320101077</v>
      </c>
      <c r="L224" s="17">
        <v>0</v>
      </c>
      <c r="M224" s="346">
        <v>0.3</v>
      </c>
      <c r="N224" s="17">
        <v>2</v>
      </c>
      <c r="O224" s="346">
        <v>0</v>
      </c>
      <c r="P224" s="17">
        <v>5</v>
      </c>
    </row>
    <row r="225" spans="1:16">
      <c r="A225" s="10" t="str">
        <f t="shared" ca="1" si="9"/>
        <v/>
      </c>
      <c r="B225" s="65" t="s">
        <v>282</v>
      </c>
      <c r="C225" s="350" t="s">
        <v>786</v>
      </c>
      <c r="D225" s="10" t="s">
        <v>47</v>
      </c>
      <c r="E225" s="353" t="s">
        <v>498</v>
      </c>
      <c r="F225" s="352">
        <v>1</v>
      </c>
      <c r="G225" s="17">
        <f t="shared" si="10"/>
        <v>392.16057588090962</v>
      </c>
      <c r="H225" s="17">
        <f t="shared" si="11"/>
        <v>0</v>
      </c>
      <c r="I225" s="17">
        <v>392.16057588090962</v>
      </c>
      <c r="J225" s="17">
        <v>0</v>
      </c>
      <c r="K225" s="17">
        <v>1307.2019196030321</v>
      </c>
      <c r="L225" s="17">
        <v>0</v>
      </c>
      <c r="M225" s="346">
        <v>0.3</v>
      </c>
      <c r="N225" s="17">
        <v>2</v>
      </c>
      <c r="O225" s="346">
        <v>0</v>
      </c>
      <c r="P225" s="17">
        <v>5</v>
      </c>
    </row>
    <row r="226" spans="1:16">
      <c r="A226" s="10" t="str">
        <f t="shared" ca="1" si="9"/>
        <v/>
      </c>
      <c r="B226" s="65" t="s">
        <v>282</v>
      </c>
      <c r="C226" s="350" t="s">
        <v>787</v>
      </c>
      <c r="D226" s="10" t="s">
        <v>47</v>
      </c>
      <c r="E226" s="353" t="s">
        <v>501</v>
      </c>
      <c r="F226" s="352">
        <v>2</v>
      </c>
      <c r="G226" s="17">
        <f t="shared" si="10"/>
        <v>274.51240311663673</v>
      </c>
      <c r="H226" s="17">
        <f t="shared" si="11"/>
        <v>0</v>
      </c>
      <c r="I226" s="17">
        <v>274.51240311663673</v>
      </c>
      <c r="J226" s="17">
        <v>0</v>
      </c>
      <c r="K226" s="17">
        <v>3050.1378124070752</v>
      </c>
      <c r="L226" s="17">
        <v>0</v>
      </c>
      <c r="M226" s="346">
        <v>0.3</v>
      </c>
      <c r="N226" s="17">
        <v>2</v>
      </c>
      <c r="O226" s="346">
        <v>0</v>
      </c>
      <c r="P226" s="17">
        <v>5</v>
      </c>
    </row>
    <row r="227" spans="1:16">
      <c r="A227" s="10" t="str">
        <f t="shared" ca="1" si="9"/>
        <v/>
      </c>
      <c r="B227" s="65" t="s">
        <v>282</v>
      </c>
      <c r="C227" s="350" t="s">
        <v>788</v>
      </c>
      <c r="D227" s="10" t="s">
        <v>47</v>
      </c>
      <c r="E227" s="353" t="s">
        <v>516</v>
      </c>
      <c r="F227" s="352">
        <v>2</v>
      </c>
      <c r="G227" s="17">
        <f t="shared" si="10"/>
        <v>274.51240311663673</v>
      </c>
      <c r="H227" s="17">
        <f t="shared" si="11"/>
        <v>0</v>
      </c>
      <c r="I227" s="17">
        <v>274.51240311663673</v>
      </c>
      <c r="J227" s="17">
        <v>0</v>
      </c>
      <c r="K227" s="17">
        <v>3050.1378124070752</v>
      </c>
      <c r="L227" s="17">
        <v>0</v>
      </c>
      <c r="M227" s="346">
        <v>0.3</v>
      </c>
      <c r="N227" s="17">
        <v>2</v>
      </c>
      <c r="O227" s="346">
        <v>0</v>
      </c>
      <c r="P227" s="17">
        <v>5</v>
      </c>
    </row>
    <row r="228" spans="1:16">
      <c r="A228" s="10" t="str">
        <f t="shared" ca="1" si="9"/>
        <v/>
      </c>
      <c r="B228" s="65" t="s">
        <v>282</v>
      </c>
      <c r="C228" s="350" t="s">
        <v>789</v>
      </c>
      <c r="D228" s="10" t="s">
        <v>47</v>
      </c>
      <c r="E228" s="353" t="s">
        <v>538</v>
      </c>
      <c r="F228" s="352">
        <v>1</v>
      </c>
      <c r="G228" s="17">
        <f t="shared" si="10"/>
        <v>261.44038392060645</v>
      </c>
      <c r="H228" s="17">
        <f t="shared" si="11"/>
        <v>0</v>
      </c>
      <c r="I228" s="17">
        <v>261.44038392060645</v>
      </c>
      <c r="J228" s="17">
        <v>0</v>
      </c>
      <c r="K228" s="17">
        <v>871.46794640202154</v>
      </c>
      <c r="L228" s="17">
        <v>0</v>
      </c>
      <c r="M228" s="346">
        <v>0.3</v>
      </c>
      <c r="N228" s="17">
        <v>2</v>
      </c>
      <c r="O228" s="346">
        <v>0</v>
      </c>
      <c r="P228" s="17">
        <v>5</v>
      </c>
    </row>
    <row r="229" spans="1:16">
      <c r="A229" s="10" t="str">
        <f t="shared" ca="1" si="9"/>
        <v/>
      </c>
      <c r="B229" s="65" t="s">
        <v>282</v>
      </c>
      <c r="C229" s="350" t="s">
        <v>2018</v>
      </c>
      <c r="D229" s="10" t="s">
        <v>47</v>
      </c>
      <c r="E229" s="353" t="s">
        <v>502</v>
      </c>
      <c r="F229" s="352">
        <v>2</v>
      </c>
      <c r="G229" s="17">
        <f t="shared" si="10"/>
        <v>360.78772981043687</v>
      </c>
      <c r="H229" s="17">
        <f t="shared" si="11"/>
        <v>0</v>
      </c>
      <c r="I229" s="17">
        <v>360.78772981043687</v>
      </c>
      <c r="J229" s="17">
        <v>0</v>
      </c>
      <c r="K229" s="17">
        <v>4008.7525534492993</v>
      </c>
      <c r="L229" s="17">
        <v>0</v>
      </c>
      <c r="M229" s="346">
        <v>0.3</v>
      </c>
      <c r="N229" s="17">
        <v>2</v>
      </c>
      <c r="O229" s="346">
        <v>0</v>
      </c>
      <c r="P229" s="17">
        <v>5</v>
      </c>
    </row>
    <row r="230" spans="1:16">
      <c r="A230" s="10" t="str">
        <f t="shared" ca="1" si="9"/>
        <v/>
      </c>
      <c r="B230" s="65" t="s">
        <v>282</v>
      </c>
      <c r="C230" s="350" t="s">
        <v>2241</v>
      </c>
      <c r="D230" s="10" t="s">
        <v>47</v>
      </c>
      <c r="E230" s="353" t="s">
        <v>503</v>
      </c>
      <c r="F230" s="352">
        <v>2</v>
      </c>
      <c r="G230" s="17">
        <f t="shared" si="10"/>
        <v>666.67297899754635</v>
      </c>
      <c r="H230" s="17">
        <f t="shared" si="11"/>
        <v>0</v>
      </c>
      <c r="I230" s="17">
        <v>666.67297899754635</v>
      </c>
      <c r="J230" s="17">
        <v>0</v>
      </c>
      <c r="K230" s="17">
        <v>7407.4775444171828</v>
      </c>
      <c r="L230" s="17">
        <v>0</v>
      </c>
      <c r="M230" s="346">
        <v>0.3</v>
      </c>
      <c r="N230" s="17">
        <v>2</v>
      </c>
      <c r="O230" s="346">
        <v>0</v>
      </c>
      <c r="P230" s="17">
        <v>5</v>
      </c>
    </row>
    <row r="231" spans="1:16">
      <c r="A231" s="10" t="str">
        <f t="shared" ca="1" si="9"/>
        <v/>
      </c>
      <c r="B231" s="65" t="s">
        <v>282</v>
      </c>
      <c r="C231" s="350" t="s">
        <v>790</v>
      </c>
      <c r="D231" s="10" t="s">
        <v>47</v>
      </c>
      <c r="E231" s="353" t="s">
        <v>545</v>
      </c>
      <c r="F231" s="352">
        <v>1</v>
      </c>
      <c r="G231" s="17">
        <f t="shared" si="10"/>
        <v>522.8807678412129</v>
      </c>
      <c r="H231" s="17">
        <f t="shared" si="11"/>
        <v>0</v>
      </c>
      <c r="I231" s="17">
        <v>522.8807678412129</v>
      </c>
      <c r="J231" s="17">
        <v>0</v>
      </c>
      <c r="K231" s="17">
        <v>1742.9358928040431</v>
      </c>
      <c r="L231" s="17">
        <v>0</v>
      </c>
      <c r="M231" s="346">
        <v>0.3</v>
      </c>
      <c r="N231" s="17">
        <v>2</v>
      </c>
      <c r="O231" s="346">
        <v>0</v>
      </c>
      <c r="P231" s="17">
        <v>5</v>
      </c>
    </row>
    <row r="232" spans="1:16">
      <c r="A232" s="10" t="str">
        <f t="shared" ca="1" si="9"/>
        <v/>
      </c>
      <c r="B232" s="65" t="s">
        <v>282</v>
      </c>
      <c r="C232" s="350" t="s">
        <v>791</v>
      </c>
      <c r="D232" s="10" t="s">
        <v>47</v>
      </c>
      <c r="E232" s="353" t="s">
        <v>546</v>
      </c>
      <c r="F232" s="352">
        <v>2</v>
      </c>
      <c r="G232" s="17">
        <f t="shared" si="10"/>
        <v>78.432115176181938</v>
      </c>
      <c r="H232" s="17">
        <f t="shared" si="11"/>
        <v>0</v>
      </c>
      <c r="I232" s="17">
        <v>78.432115176181938</v>
      </c>
      <c r="J232" s="17">
        <v>0</v>
      </c>
      <c r="K232" s="17">
        <v>871.46794640202154</v>
      </c>
      <c r="L232" s="17">
        <v>0</v>
      </c>
      <c r="M232" s="346">
        <v>0.3</v>
      </c>
      <c r="N232" s="17">
        <v>2</v>
      </c>
      <c r="O232" s="346">
        <v>0</v>
      </c>
      <c r="P232" s="17">
        <v>5</v>
      </c>
    </row>
    <row r="233" spans="1:16">
      <c r="A233" s="10">
        <f t="shared" ca="1" si="9"/>
        <v>233</v>
      </c>
      <c r="B233" s="65" t="s">
        <v>283</v>
      </c>
      <c r="C233" s="350" t="s">
        <v>2019</v>
      </c>
      <c r="D233" s="10" t="s">
        <v>47</v>
      </c>
      <c r="E233" s="353" t="s">
        <v>2020</v>
      </c>
      <c r="F233" s="352">
        <v>2</v>
      </c>
      <c r="G233" s="17">
        <f t="shared" si="10"/>
        <v>32.827510415900662</v>
      </c>
      <c r="H233" s="17">
        <f t="shared" si="11"/>
        <v>0</v>
      </c>
      <c r="I233" s="17">
        <v>32.827510415900662</v>
      </c>
      <c r="J233" s="17">
        <v>0</v>
      </c>
      <c r="K233" s="17">
        <v>364.75011573222957</v>
      </c>
      <c r="L233" s="17">
        <v>0</v>
      </c>
      <c r="M233" s="346">
        <v>0.3</v>
      </c>
      <c r="N233" s="17">
        <v>2</v>
      </c>
      <c r="O233" s="346">
        <v>0</v>
      </c>
      <c r="P233" s="17">
        <v>5</v>
      </c>
    </row>
    <row r="234" spans="1:16">
      <c r="A234" s="10">
        <f t="shared" ca="1" si="9"/>
        <v>235</v>
      </c>
      <c r="B234" s="65" t="s">
        <v>280</v>
      </c>
      <c r="C234" s="350" t="s">
        <v>792</v>
      </c>
      <c r="D234" s="10" t="s">
        <v>47</v>
      </c>
      <c r="E234" s="353" t="s">
        <v>494</v>
      </c>
      <c r="F234" s="352">
        <v>1</v>
      </c>
      <c r="G234" s="17">
        <f t="shared" si="10"/>
        <v>534.7093482735188</v>
      </c>
      <c r="H234" s="17">
        <f t="shared" si="11"/>
        <v>0</v>
      </c>
      <c r="I234" s="17">
        <v>534.7093482735188</v>
      </c>
      <c r="J234" s="17">
        <v>0</v>
      </c>
      <c r="K234" s="17">
        <v>1782.3644942450628</v>
      </c>
      <c r="L234" s="17">
        <v>0</v>
      </c>
      <c r="M234" s="346">
        <v>0.3</v>
      </c>
      <c r="N234" s="17">
        <v>2</v>
      </c>
      <c r="O234" s="346">
        <v>0</v>
      </c>
      <c r="P234" s="17">
        <v>5</v>
      </c>
    </row>
    <row r="235" spans="1:16">
      <c r="A235" s="10" t="str">
        <f t="shared" ca="1" si="9"/>
        <v/>
      </c>
      <c r="B235" s="65" t="s">
        <v>280</v>
      </c>
      <c r="C235" s="350" t="s">
        <v>2021</v>
      </c>
      <c r="D235" s="10" t="s">
        <v>47</v>
      </c>
      <c r="E235" s="353" t="s">
        <v>1966</v>
      </c>
      <c r="F235" s="352">
        <v>1</v>
      </c>
      <c r="G235" s="17">
        <f t="shared" si="10"/>
        <v>534.7093482735188</v>
      </c>
      <c r="H235" s="17">
        <f t="shared" si="11"/>
        <v>0</v>
      </c>
      <c r="I235" s="17">
        <v>534.7093482735188</v>
      </c>
      <c r="J235" s="17">
        <v>0</v>
      </c>
      <c r="K235" s="17">
        <v>1782.3644942450628</v>
      </c>
      <c r="L235" s="17">
        <v>0</v>
      </c>
      <c r="M235" s="346">
        <v>0.3</v>
      </c>
      <c r="N235" s="17">
        <v>2</v>
      </c>
      <c r="O235" s="346">
        <v>0</v>
      </c>
      <c r="P235" s="17">
        <v>5</v>
      </c>
    </row>
    <row r="236" spans="1:16">
      <c r="A236" s="10">
        <f t="shared" ca="1" si="9"/>
        <v>256</v>
      </c>
      <c r="B236" s="65" t="s">
        <v>273</v>
      </c>
      <c r="C236" s="350" t="s">
        <v>793</v>
      </c>
      <c r="D236" s="10" t="s">
        <v>46</v>
      </c>
      <c r="E236" s="353" t="s">
        <v>517</v>
      </c>
      <c r="F236" s="352">
        <v>1</v>
      </c>
      <c r="G236" s="17">
        <f t="shared" si="10"/>
        <v>2531.014770886708</v>
      </c>
      <c r="H236" s="17">
        <f t="shared" si="11"/>
        <v>0</v>
      </c>
      <c r="I236" s="17">
        <v>2531.014770886708</v>
      </c>
      <c r="J236" s="17">
        <v>0</v>
      </c>
      <c r="K236" s="17">
        <v>8436.7159029556933</v>
      </c>
      <c r="L236" s="17">
        <v>0</v>
      </c>
      <c r="M236" s="346">
        <v>0.3</v>
      </c>
      <c r="N236" s="17">
        <v>2</v>
      </c>
      <c r="O236" s="346">
        <v>0</v>
      </c>
      <c r="P236" s="17">
        <v>5</v>
      </c>
    </row>
    <row r="237" spans="1:16">
      <c r="A237" s="10" t="str">
        <f t="shared" ca="1" si="9"/>
        <v/>
      </c>
      <c r="B237" s="65" t="s">
        <v>273</v>
      </c>
      <c r="C237" s="350" t="s">
        <v>2022</v>
      </c>
      <c r="D237" s="10" t="s">
        <v>46</v>
      </c>
      <c r="E237" s="353" t="s">
        <v>2086</v>
      </c>
      <c r="F237" s="352">
        <v>1</v>
      </c>
      <c r="G237" s="17">
        <f t="shared" si="10"/>
        <v>421.83579514778467</v>
      </c>
      <c r="H237" s="17">
        <f t="shared" si="11"/>
        <v>0</v>
      </c>
      <c r="I237" s="17">
        <v>421.83579514778467</v>
      </c>
      <c r="J237" s="17">
        <v>0</v>
      </c>
      <c r="K237" s="17">
        <v>1406.1193171592822</v>
      </c>
      <c r="L237" s="17">
        <v>0</v>
      </c>
      <c r="M237" s="346">
        <v>0.3</v>
      </c>
      <c r="N237" s="17">
        <v>2</v>
      </c>
      <c r="O237" s="346">
        <v>0</v>
      </c>
      <c r="P237" s="17">
        <v>5</v>
      </c>
    </row>
    <row r="238" spans="1:16">
      <c r="A238" s="10" t="str">
        <f t="shared" ca="1" si="9"/>
        <v/>
      </c>
      <c r="B238" s="65" t="s">
        <v>273</v>
      </c>
      <c r="C238" s="350" t="s">
        <v>2023</v>
      </c>
      <c r="D238" s="10" t="s">
        <v>46</v>
      </c>
      <c r="E238" s="353" t="s">
        <v>2242</v>
      </c>
      <c r="F238" s="352">
        <v>3</v>
      </c>
      <c r="G238" s="17">
        <f t="shared" si="10"/>
        <v>140.61193171592822</v>
      </c>
      <c r="H238" s="17">
        <f t="shared" si="11"/>
        <v>0</v>
      </c>
      <c r="I238" s="17">
        <v>140.61193171592822</v>
      </c>
      <c r="J238" s="17">
        <v>0</v>
      </c>
      <c r="K238" s="17">
        <v>468.70643905309407</v>
      </c>
      <c r="L238" s="17">
        <v>0</v>
      </c>
      <c r="M238" s="346">
        <v>0.3</v>
      </c>
      <c r="N238" s="17">
        <v>2</v>
      </c>
      <c r="O238" s="346">
        <v>0</v>
      </c>
      <c r="P238" s="17">
        <v>5</v>
      </c>
    </row>
    <row r="239" spans="1:16">
      <c r="A239" s="10" t="str">
        <f t="shared" ca="1" si="9"/>
        <v/>
      </c>
      <c r="B239" s="65" t="s">
        <v>273</v>
      </c>
      <c r="C239" s="350" t="s">
        <v>2024</v>
      </c>
      <c r="D239" s="10" t="s">
        <v>46</v>
      </c>
      <c r="E239" s="353" t="s">
        <v>2243</v>
      </c>
      <c r="F239" s="352">
        <v>3</v>
      </c>
      <c r="G239" s="17">
        <f t="shared" si="10"/>
        <v>140.61193171592822</v>
      </c>
      <c r="H239" s="17">
        <f t="shared" si="11"/>
        <v>0</v>
      </c>
      <c r="I239" s="17">
        <v>140.61193171592822</v>
      </c>
      <c r="J239" s="17">
        <v>0</v>
      </c>
      <c r="K239" s="17">
        <v>468.70643905309407</v>
      </c>
      <c r="L239" s="17">
        <v>0</v>
      </c>
      <c r="M239" s="346">
        <v>0.3</v>
      </c>
      <c r="N239" s="17">
        <v>2</v>
      </c>
      <c r="O239" s="346">
        <v>0</v>
      </c>
      <c r="P239" s="17">
        <v>5</v>
      </c>
    </row>
    <row r="240" spans="1:16">
      <c r="A240" s="10" t="str">
        <f t="shared" ca="1" si="9"/>
        <v/>
      </c>
      <c r="B240" s="65" t="s">
        <v>273</v>
      </c>
      <c r="C240" s="350" t="s">
        <v>794</v>
      </c>
      <c r="D240" s="10" t="s">
        <v>46</v>
      </c>
      <c r="E240" s="353" t="s">
        <v>547</v>
      </c>
      <c r="F240" s="352">
        <v>1</v>
      </c>
      <c r="G240" s="17">
        <f t="shared" si="10"/>
        <v>56.244772686371284</v>
      </c>
      <c r="H240" s="17">
        <f t="shared" si="11"/>
        <v>0</v>
      </c>
      <c r="I240" s="17">
        <v>56.244772686371284</v>
      </c>
      <c r="J240" s="17">
        <v>0</v>
      </c>
      <c r="K240" s="17">
        <v>187.48257562123763</v>
      </c>
      <c r="L240" s="17">
        <v>0</v>
      </c>
      <c r="M240" s="346">
        <v>0.3</v>
      </c>
      <c r="N240" s="17">
        <v>2</v>
      </c>
      <c r="O240" s="346">
        <v>0</v>
      </c>
      <c r="P240" s="17">
        <v>5</v>
      </c>
    </row>
    <row r="241" spans="1:16">
      <c r="A241" s="10" t="str">
        <f t="shared" ca="1" si="9"/>
        <v/>
      </c>
      <c r="B241" s="65" t="s">
        <v>273</v>
      </c>
      <c r="C241" s="350" t="s">
        <v>2025</v>
      </c>
      <c r="D241" s="10" t="s">
        <v>46</v>
      </c>
      <c r="E241" s="353" t="s">
        <v>519</v>
      </c>
      <c r="F241" s="352">
        <v>1</v>
      </c>
      <c r="G241" s="17">
        <f t="shared" si="10"/>
        <v>421.83579514778467</v>
      </c>
      <c r="H241" s="17">
        <f t="shared" si="11"/>
        <v>0</v>
      </c>
      <c r="I241" s="17">
        <v>421.83579514778467</v>
      </c>
      <c r="J241" s="17">
        <v>0</v>
      </c>
      <c r="K241" s="17">
        <v>1406.1193171592822</v>
      </c>
      <c r="L241" s="17">
        <v>0</v>
      </c>
      <c r="M241" s="346">
        <v>0.3</v>
      </c>
      <c r="N241" s="17">
        <v>2</v>
      </c>
      <c r="O241" s="346">
        <v>0</v>
      </c>
      <c r="P241" s="17">
        <v>5</v>
      </c>
    </row>
    <row r="242" spans="1:16">
      <c r="A242" s="10" t="str">
        <f t="shared" ca="1" si="9"/>
        <v/>
      </c>
      <c r="B242" s="65" t="s">
        <v>273</v>
      </c>
      <c r="C242" s="350" t="s">
        <v>795</v>
      </c>
      <c r="D242" s="10" t="s">
        <v>46</v>
      </c>
      <c r="E242" s="353" t="s">
        <v>530</v>
      </c>
      <c r="F242" s="352">
        <v>1</v>
      </c>
      <c r="G242" s="17">
        <f t="shared" si="10"/>
        <v>56.244772686371284</v>
      </c>
      <c r="H242" s="17">
        <f t="shared" si="11"/>
        <v>0</v>
      </c>
      <c r="I242" s="17">
        <v>56.244772686371284</v>
      </c>
      <c r="J242" s="17">
        <v>0</v>
      </c>
      <c r="K242" s="17">
        <v>187.48257562123763</v>
      </c>
      <c r="L242" s="17">
        <v>0</v>
      </c>
      <c r="M242" s="346">
        <v>0.3</v>
      </c>
      <c r="N242" s="17">
        <v>2</v>
      </c>
      <c r="O242" s="346">
        <v>0</v>
      </c>
      <c r="P242" s="17">
        <v>5</v>
      </c>
    </row>
    <row r="243" spans="1:16">
      <c r="A243" s="10" t="str">
        <f t="shared" ca="1" si="9"/>
        <v/>
      </c>
      <c r="B243" s="65" t="s">
        <v>273</v>
      </c>
      <c r="C243" s="350" t="s">
        <v>796</v>
      </c>
      <c r="D243" s="10" t="s">
        <v>46</v>
      </c>
      <c r="E243" s="353" t="s">
        <v>527</v>
      </c>
      <c r="F243" s="352">
        <v>1</v>
      </c>
      <c r="G243" s="17">
        <f t="shared" si="10"/>
        <v>56.244772686371284</v>
      </c>
      <c r="H243" s="17">
        <f t="shared" si="11"/>
        <v>0</v>
      </c>
      <c r="I243" s="17">
        <v>56.244772686371284</v>
      </c>
      <c r="J243" s="17">
        <v>0</v>
      </c>
      <c r="K243" s="17">
        <v>187.48257562123763</v>
      </c>
      <c r="L243" s="17">
        <v>0</v>
      </c>
      <c r="M243" s="346">
        <v>0.3</v>
      </c>
      <c r="N243" s="17">
        <v>2</v>
      </c>
      <c r="O243" s="346">
        <v>0</v>
      </c>
      <c r="P243" s="17">
        <v>5</v>
      </c>
    </row>
    <row r="244" spans="1:16">
      <c r="A244" s="10" t="str">
        <f t="shared" ca="1" si="9"/>
        <v/>
      </c>
      <c r="B244" s="65" t="s">
        <v>273</v>
      </c>
      <c r="C244" s="350" t="s">
        <v>797</v>
      </c>
      <c r="D244" s="10" t="s">
        <v>46</v>
      </c>
      <c r="E244" s="353" t="s">
        <v>548</v>
      </c>
      <c r="F244" s="352">
        <v>1</v>
      </c>
      <c r="G244" s="17">
        <f t="shared" si="10"/>
        <v>56.244772686371284</v>
      </c>
      <c r="H244" s="17">
        <f t="shared" si="11"/>
        <v>0</v>
      </c>
      <c r="I244" s="17">
        <v>56.244772686371284</v>
      </c>
      <c r="J244" s="17">
        <v>0</v>
      </c>
      <c r="K244" s="17">
        <v>187.48257562123763</v>
      </c>
      <c r="L244" s="17">
        <v>0</v>
      </c>
      <c r="M244" s="346">
        <v>0.3</v>
      </c>
      <c r="N244" s="17">
        <v>2</v>
      </c>
      <c r="O244" s="346">
        <v>0</v>
      </c>
      <c r="P244" s="17">
        <v>5</v>
      </c>
    </row>
    <row r="245" spans="1:16">
      <c r="A245" s="10" t="str">
        <f t="shared" ca="1" si="9"/>
        <v/>
      </c>
      <c r="B245" s="65" t="s">
        <v>273</v>
      </c>
      <c r="C245" s="350" t="s">
        <v>2026</v>
      </c>
      <c r="D245" s="10" t="s">
        <v>46</v>
      </c>
      <c r="E245" s="353" t="s">
        <v>2027</v>
      </c>
      <c r="F245" s="352">
        <v>2</v>
      </c>
      <c r="G245" s="17">
        <f t="shared" si="10"/>
        <v>12.655073854433539</v>
      </c>
      <c r="H245" s="17">
        <f t="shared" si="11"/>
        <v>0</v>
      </c>
      <c r="I245" s="17">
        <v>12.655073854433539</v>
      </c>
      <c r="J245" s="17">
        <v>0</v>
      </c>
      <c r="K245" s="17">
        <v>140.61193171592822</v>
      </c>
      <c r="L245" s="17">
        <v>0</v>
      </c>
      <c r="M245" s="346">
        <v>0.3</v>
      </c>
      <c r="N245" s="17">
        <v>2</v>
      </c>
      <c r="O245" s="346">
        <v>0</v>
      </c>
      <c r="P245" s="17">
        <v>5</v>
      </c>
    </row>
    <row r="246" spans="1:16">
      <c r="A246" s="10" t="str">
        <f t="shared" ca="1" si="9"/>
        <v/>
      </c>
      <c r="B246" s="65" t="s">
        <v>273</v>
      </c>
      <c r="C246" s="350" t="s">
        <v>798</v>
      </c>
      <c r="D246" s="10" t="s">
        <v>46</v>
      </c>
      <c r="E246" s="353" t="s">
        <v>549</v>
      </c>
      <c r="F246" s="352">
        <v>1</v>
      </c>
      <c r="G246" s="17">
        <f t="shared" si="10"/>
        <v>56.244772686371284</v>
      </c>
      <c r="H246" s="17">
        <f t="shared" si="11"/>
        <v>0</v>
      </c>
      <c r="I246" s="17">
        <v>56.244772686371284</v>
      </c>
      <c r="J246" s="17">
        <v>0</v>
      </c>
      <c r="K246" s="17">
        <v>187.48257562123763</v>
      </c>
      <c r="L246" s="17">
        <v>0</v>
      </c>
      <c r="M246" s="346">
        <v>0.3</v>
      </c>
      <c r="N246" s="17">
        <v>2</v>
      </c>
      <c r="O246" s="346">
        <v>0</v>
      </c>
      <c r="P246" s="17">
        <v>5</v>
      </c>
    </row>
    <row r="247" spans="1:16">
      <c r="A247" s="10" t="str">
        <f t="shared" ca="1" si="9"/>
        <v/>
      </c>
      <c r="B247" s="65" t="s">
        <v>273</v>
      </c>
      <c r="C247" s="350" t="s">
        <v>2028</v>
      </c>
      <c r="D247" s="10" t="s">
        <v>46</v>
      </c>
      <c r="E247" s="353" t="s">
        <v>2029</v>
      </c>
      <c r="F247" s="352">
        <v>3</v>
      </c>
      <c r="G247" s="17">
        <f t="shared" si="10"/>
        <v>56.244772686371284</v>
      </c>
      <c r="H247" s="17">
        <f t="shared" si="11"/>
        <v>0</v>
      </c>
      <c r="I247" s="17">
        <v>56.244772686371284</v>
      </c>
      <c r="J247" s="17">
        <v>0</v>
      </c>
      <c r="K247" s="17">
        <v>187.48257562123763</v>
      </c>
      <c r="L247" s="17">
        <v>0</v>
      </c>
      <c r="M247" s="346">
        <v>0.3</v>
      </c>
      <c r="N247" s="17">
        <v>2</v>
      </c>
      <c r="O247" s="346">
        <v>0</v>
      </c>
      <c r="P247" s="17">
        <v>5</v>
      </c>
    </row>
    <row r="248" spans="1:16">
      <c r="A248" s="10" t="str">
        <f t="shared" ca="1" si="9"/>
        <v/>
      </c>
      <c r="B248" s="65" t="s">
        <v>273</v>
      </c>
      <c r="C248" s="350" t="s">
        <v>799</v>
      </c>
      <c r="D248" s="10" t="s">
        <v>46</v>
      </c>
      <c r="E248" s="353" t="s">
        <v>501</v>
      </c>
      <c r="F248" s="352">
        <v>2</v>
      </c>
      <c r="G248" s="17">
        <f t="shared" si="10"/>
        <v>42.183579514778465</v>
      </c>
      <c r="H248" s="17">
        <f t="shared" si="11"/>
        <v>0</v>
      </c>
      <c r="I248" s="17">
        <v>42.183579514778465</v>
      </c>
      <c r="J248" s="17">
        <v>0</v>
      </c>
      <c r="K248" s="17">
        <v>468.70643905309407</v>
      </c>
      <c r="L248" s="17">
        <v>0</v>
      </c>
      <c r="M248" s="346">
        <v>0.3</v>
      </c>
      <c r="N248" s="17">
        <v>2</v>
      </c>
      <c r="O248" s="346">
        <v>0</v>
      </c>
      <c r="P248" s="17">
        <v>5</v>
      </c>
    </row>
    <row r="249" spans="1:16">
      <c r="A249" s="10" t="str">
        <f t="shared" ca="1" si="9"/>
        <v/>
      </c>
      <c r="B249" s="65" t="s">
        <v>273</v>
      </c>
      <c r="C249" s="350" t="s">
        <v>2030</v>
      </c>
      <c r="D249" s="10" t="s">
        <v>46</v>
      </c>
      <c r="E249" s="353" t="s">
        <v>2031</v>
      </c>
      <c r="F249" s="352">
        <v>1</v>
      </c>
      <c r="G249" s="17">
        <f t="shared" si="10"/>
        <v>140.61193171592822</v>
      </c>
      <c r="H249" s="17">
        <f t="shared" si="11"/>
        <v>0</v>
      </c>
      <c r="I249" s="17">
        <v>140.61193171592822</v>
      </c>
      <c r="J249" s="17">
        <v>0</v>
      </c>
      <c r="K249" s="17">
        <v>468.70643905309407</v>
      </c>
      <c r="L249" s="17">
        <v>0</v>
      </c>
      <c r="M249" s="346">
        <v>0.3</v>
      </c>
      <c r="N249" s="17">
        <v>2</v>
      </c>
      <c r="O249" s="346">
        <v>0</v>
      </c>
      <c r="P249" s="17">
        <v>5</v>
      </c>
    </row>
    <row r="250" spans="1:16">
      <c r="A250" s="10" t="str">
        <f t="shared" ca="1" si="9"/>
        <v/>
      </c>
      <c r="B250" s="65" t="s">
        <v>273</v>
      </c>
      <c r="C250" s="350" t="s">
        <v>800</v>
      </c>
      <c r="D250" s="10" t="s">
        <v>46</v>
      </c>
      <c r="E250" s="353" t="s">
        <v>495</v>
      </c>
      <c r="F250" s="352">
        <v>2</v>
      </c>
      <c r="G250" s="17">
        <f t="shared" si="10"/>
        <v>42.183579514778465</v>
      </c>
      <c r="H250" s="17">
        <f t="shared" si="11"/>
        <v>0</v>
      </c>
      <c r="I250" s="17">
        <v>42.183579514778465</v>
      </c>
      <c r="J250" s="17">
        <v>0</v>
      </c>
      <c r="K250" s="17">
        <v>468.70643905309407</v>
      </c>
      <c r="L250" s="17">
        <v>0</v>
      </c>
      <c r="M250" s="346">
        <v>0.3</v>
      </c>
      <c r="N250" s="17">
        <v>2</v>
      </c>
      <c r="O250" s="346">
        <v>0</v>
      </c>
      <c r="P250" s="17">
        <v>5</v>
      </c>
    </row>
    <row r="251" spans="1:16">
      <c r="A251" s="10" t="str">
        <f t="shared" ca="1" si="9"/>
        <v/>
      </c>
      <c r="B251" s="65" t="s">
        <v>273</v>
      </c>
      <c r="C251" s="350" t="s">
        <v>801</v>
      </c>
      <c r="D251" s="10" t="s">
        <v>46</v>
      </c>
      <c r="E251" s="353" t="s">
        <v>502</v>
      </c>
      <c r="F251" s="352">
        <v>2</v>
      </c>
      <c r="G251" s="17">
        <f t="shared" si="10"/>
        <v>42.183579514778465</v>
      </c>
      <c r="H251" s="17">
        <f t="shared" si="11"/>
        <v>0</v>
      </c>
      <c r="I251" s="17">
        <v>42.183579514778465</v>
      </c>
      <c r="J251" s="17">
        <v>0</v>
      </c>
      <c r="K251" s="17">
        <v>468.70643905309407</v>
      </c>
      <c r="L251" s="17">
        <v>0</v>
      </c>
      <c r="M251" s="346">
        <v>0.3</v>
      </c>
      <c r="N251" s="17">
        <v>2</v>
      </c>
      <c r="O251" s="346">
        <v>0</v>
      </c>
      <c r="P251" s="17">
        <v>5</v>
      </c>
    </row>
    <row r="252" spans="1:16">
      <c r="A252" s="10" t="str">
        <f t="shared" ca="1" si="9"/>
        <v/>
      </c>
      <c r="B252" s="65" t="s">
        <v>273</v>
      </c>
      <c r="C252" s="350" t="s">
        <v>802</v>
      </c>
      <c r="D252" s="10" t="s">
        <v>46</v>
      </c>
      <c r="E252" s="353" t="s">
        <v>503</v>
      </c>
      <c r="F252" s="352">
        <v>2</v>
      </c>
      <c r="G252" s="17">
        <f t="shared" si="10"/>
        <v>42.183579514778465</v>
      </c>
      <c r="H252" s="17">
        <f t="shared" si="11"/>
        <v>0</v>
      </c>
      <c r="I252" s="17">
        <v>42.183579514778465</v>
      </c>
      <c r="J252" s="17">
        <v>0</v>
      </c>
      <c r="K252" s="17">
        <v>468.70643905309407</v>
      </c>
      <c r="L252" s="17">
        <v>0</v>
      </c>
      <c r="M252" s="346">
        <v>0.3</v>
      </c>
      <c r="N252" s="17">
        <v>2</v>
      </c>
      <c r="O252" s="346">
        <v>0</v>
      </c>
      <c r="P252" s="17">
        <v>5</v>
      </c>
    </row>
    <row r="253" spans="1:16">
      <c r="A253" s="10" t="str">
        <f t="shared" ca="1" si="9"/>
        <v/>
      </c>
      <c r="B253" s="65" t="s">
        <v>273</v>
      </c>
      <c r="C253" s="350" t="s">
        <v>803</v>
      </c>
      <c r="D253" s="10" t="s">
        <v>46</v>
      </c>
      <c r="E253" s="353" t="s">
        <v>550</v>
      </c>
      <c r="F253" s="352">
        <v>1</v>
      </c>
      <c r="G253" s="17">
        <f t="shared" si="10"/>
        <v>140.61193171592822</v>
      </c>
      <c r="H253" s="17">
        <f t="shared" si="11"/>
        <v>0</v>
      </c>
      <c r="I253" s="17">
        <v>140.61193171592822</v>
      </c>
      <c r="J253" s="17">
        <v>0</v>
      </c>
      <c r="K253" s="17">
        <v>468.70643905309407</v>
      </c>
      <c r="L253" s="17">
        <v>0</v>
      </c>
      <c r="M253" s="346">
        <v>0.3</v>
      </c>
      <c r="N253" s="17">
        <v>2</v>
      </c>
      <c r="O253" s="346">
        <v>0</v>
      </c>
      <c r="P253" s="17">
        <v>5</v>
      </c>
    </row>
    <row r="254" spans="1:16">
      <c r="A254" s="10" t="str">
        <f t="shared" ca="1" si="9"/>
        <v/>
      </c>
      <c r="B254" s="65" t="s">
        <v>273</v>
      </c>
      <c r="C254" s="350" t="s">
        <v>804</v>
      </c>
      <c r="D254" s="10" t="s">
        <v>46</v>
      </c>
      <c r="E254" s="353" t="s">
        <v>505</v>
      </c>
      <c r="F254" s="352">
        <v>2</v>
      </c>
      <c r="G254" s="17">
        <f t="shared" si="10"/>
        <v>42.183579514778465</v>
      </c>
      <c r="H254" s="17">
        <f t="shared" si="11"/>
        <v>0</v>
      </c>
      <c r="I254" s="17">
        <v>42.183579514778465</v>
      </c>
      <c r="J254" s="17">
        <v>0</v>
      </c>
      <c r="K254" s="17">
        <v>468.70643905309407</v>
      </c>
      <c r="L254" s="17">
        <v>0</v>
      </c>
      <c r="M254" s="346">
        <v>0.3</v>
      </c>
      <c r="N254" s="17">
        <v>2</v>
      </c>
      <c r="O254" s="346">
        <v>0</v>
      </c>
      <c r="P254" s="17">
        <v>5</v>
      </c>
    </row>
    <row r="255" spans="1:16">
      <c r="A255" s="10" t="str">
        <f t="shared" ca="1" si="9"/>
        <v/>
      </c>
      <c r="B255" s="65" t="s">
        <v>273</v>
      </c>
      <c r="C255" s="350" t="s">
        <v>805</v>
      </c>
      <c r="D255" s="10" t="s">
        <v>46</v>
      </c>
      <c r="E255" s="353" t="s">
        <v>506</v>
      </c>
      <c r="F255" s="352">
        <v>2</v>
      </c>
      <c r="G255" s="17">
        <f t="shared" si="10"/>
        <v>42.183579514778465</v>
      </c>
      <c r="H255" s="17">
        <f t="shared" si="11"/>
        <v>0</v>
      </c>
      <c r="I255" s="17">
        <v>42.183579514778465</v>
      </c>
      <c r="J255" s="17">
        <v>0</v>
      </c>
      <c r="K255" s="17">
        <v>468.70643905309407</v>
      </c>
      <c r="L255" s="17">
        <v>0</v>
      </c>
      <c r="M255" s="346">
        <v>0.3</v>
      </c>
      <c r="N255" s="17">
        <v>2</v>
      </c>
      <c r="O255" s="346">
        <v>0</v>
      </c>
      <c r="P255" s="17">
        <v>5</v>
      </c>
    </row>
    <row r="256" spans="1:16">
      <c r="A256" s="10" t="str">
        <f t="shared" ca="1" si="9"/>
        <v/>
      </c>
      <c r="B256" s="65" t="s">
        <v>273</v>
      </c>
      <c r="C256" s="350" t="s">
        <v>2032</v>
      </c>
      <c r="D256" s="10" t="s">
        <v>46</v>
      </c>
      <c r="E256" s="353" t="s">
        <v>512</v>
      </c>
      <c r="F256" s="352">
        <v>2</v>
      </c>
      <c r="G256" s="17">
        <f t="shared" si="10"/>
        <v>42.183579514778465</v>
      </c>
      <c r="H256" s="17">
        <f t="shared" si="11"/>
        <v>0</v>
      </c>
      <c r="I256" s="17">
        <v>42.183579514778465</v>
      </c>
      <c r="J256" s="17">
        <v>0</v>
      </c>
      <c r="K256" s="17">
        <v>468.70643905309407</v>
      </c>
      <c r="L256" s="17">
        <v>0</v>
      </c>
      <c r="M256" s="346">
        <v>0.3</v>
      </c>
      <c r="N256" s="17">
        <v>2</v>
      </c>
      <c r="O256" s="346">
        <v>0</v>
      </c>
      <c r="P256" s="17">
        <v>5</v>
      </c>
    </row>
    <row r="257" spans="1:16">
      <c r="A257" s="10">
        <f t="shared" ca="1" si="9"/>
        <v>258</v>
      </c>
      <c r="B257" s="65" t="s">
        <v>277</v>
      </c>
      <c r="C257" s="350" t="s">
        <v>806</v>
      </c>
      <c r="D257" s="10" t="s">
        <v>47</v>
      </c>
      <c r="E257" s="353" t="s">
        <v>551</v>
      </c>
      <c r="F257" s="352">
        <v>2</v>
      </c>
      <c r="G257" s="17">
        <f t="shared" si="10"/>
        <v>23.895878443961827</v>
      </c>
      <c r="H257" s="17">
        <f t="shared" si="11"/>
        <v>0</v>
      </c>
      <c r="I257" s="17">
        <v>23.895878443961827</v>
      </c>
      <c r="J257" s="17">
        <v>0</v>
      </c>
      <c r="K257" s="17">
        <v>265.50976048846474</v>
      </c>
      <c r="L257" s="17">
        <v>0</v>
      </c>
      <c r="M257" s="346">
        <v>0.3</v>
      </c>
      <c r="N257" s="17">
        <v>2</v>
      </c>
      <c r="O257" s="346">
        <v>0</v>
      </c>
      <c r="P257" s="17">
        <v>5</v>
      </c>
    </row>
    <row r="258" spans="1:16">
      <c r="A258" s="10" t="str">
        <f t="shared" ref="A258:A321" ca="1" si="12">IF(B257=B258,"",ROW(A258)-1+MATCH(B258,INDIRECT("B"&amp;ROW(A258)&amp;":"&amp;"B"&amp;$A$1),1))</f>
        <v/>
      </c>
      <c r="B258" s="65" t="s">
        <v>277</v>
      </c>
      <c r="C258" s="350" t="s">
        <v>2033</v>
      </c>
      <c r="D258" s="10" t="s">
        <v>47</v>
      </c>
      <c r="E258" s="353" t="s">
        <v>495</v>
      </c>
      <c r="F258" s="352">
        <v>5</v>
      </c>
      <c r="G258" s="17">
        <f t="shared" ref="G258:G321" si="13">IF($R$2=1,K258,I258)</f>
        <v>79.652928146539423</v>
      </c>
      <c r="H258" s="17">
        <f t="shared" ref="H258:H321" si="14">IF($R$2=1,L258,J258)</f>
        <v>0</v>
      </c>
      <c r="I258" s="17">
        <v>79.652928146539423</v>
      </c>
      <c r="J258" s="17">
        <v>0</v>
      </c>
      <c r="K258" s="17">
        <v>265.50976048846474</v>
      </c>
      <c r="L258" s="17">
        <v>0</v>
      </c>
      <c r="M258" s="346">
        <v>0.3</v>
      </c>
      <c r="N258" s="17">
        <v>2</v>
      </c>
      <c r="O258" s="346">
        <v>0</v>
      </c>
      <c r="P258" s="17">
        <v>5</v>
      </c>
    </row>
    <row r="259" spans="1:16">
      <c r="A259" s="10">
        <f t="shared" ca="1" si="12"/>
        <v>260</v>
      </c>
      <c r="B259" s="65" t="s">
        <v>204</v>
      </c>
      <c r="C259" s="350" t="s">
        <v>2244</v>
      </c>
      <c r="D259" s="10" t="s">
        <v>47</v>
      </c>
      <c r="E259" s="353" t="s">
        <v>2173</v>
      </c>
      <c r="F259" s="352">
        <v>1</v>
      </c>
      <c r="G259" s="17">
        <f t="shared" si="13"/>
        <v>1532.8948338587552</v>
      </c>
      <c r="H259" s="17">
        <f t="shared" si="14"/>
        <v>0</v>
      </c>
      <c r="I259" s="17">
        <v>1532.8948338587552</v>
      </c>
      <c r="J259" s="17">
        <v>0</v>
      </c>
      <c r="K259" s="17">
        <v>5109.6494461958509</v>
      </c>
      <c r="L259" s="17">
        <v>0</v>
      </c>
      <c r="M259" s="346">
        <v>0.3</v>
      </c>
      <c r="N259" s="17">
        <v>2</v>
      </c>
      <c r="O259" s="346">
        <v>0</v>
      </c>
      <c r="P259" s="17">
        <v>5</v>
      </c>
    </row>
    <row r="260" spans="1:16">
      <c r="A260" s="10" t="str">
        <f t="shared" ca="1" si="12"/>
        <v/>
      </c>
      <c r="B260" s="65" t="s">
        <v>204</v>
      </c>
      <c r="C260" s="350" t="s">
        <v>2034</v>
      </c>
      <c r="D260" s="10" t="s">
        <v>47</v>
      </c>
      <c r="E260" s="353" t="s">
        <v>502</v>
      </c>
      <c r="F260" s="352">
        <v>2</v>
      </c>
      <c r="G260" s="17">
        <f t="shared" si="13"/>
        <v>2299.3422507881328</v>
      </c>
      <c r="H260" s="17">
        <f t="shared" si="14"/>
        <v>0</v>
      </c>
      <c r="I260" s="17">
        <v>2299.3422507881328</v>
      </c>
      <c r="J260" s="17">
        <v>0</v>
      </c>
      <c r="K260" s="17">
        <v>25548.247230979254</v>
      </c>
      <c r="L260" s="17">
        <v>0</v>
      </c>
      <c r="M260" s="346">
        <v>0.3</v>
      </c>
      <c r="N260" s="17">
        <v>2</v>
      </c>
      <c r="O260" s="346">
        <v>0</v>
      </c>
      <c r="P260" s="17">
        <v>5</v>
      </c>
    </row>
    <row r="261" spans="1:16">
      <c r="A261" s="10">
        <f t="shared" ca="1" si="12"/>
        <v>264</v>
      </c>
      <c r="B261" s="65" t="s">
        <v>238</v>
      </c>
      <c r="C261" s="350" t="s">
        <v>807</v>
      </c>
      <c r="D261" s="10" t="s">
        <v>47</v>
      </c>
      <c r="E261" s="353" t="s">
        <v>514</v>
      </c>
      <c r="F261" s="352">
        <v>1</v>
      </c>
      <c r="G261" s="17">
        <f t="shared" si="13"/>
        <v>8.1560050452025674</v>
      </c>
      <c r="H261" s="17">
        <f t="shared" si="14"/>
        <v>0</v>
      </c>
      <c r="I261" s="17">
        <v>8.1560050452025674</v>
      </c>
      <c r="J261" s="17">
        <v>0</v>
      </c>
      <c r="K261" s="17">
        <v>27.186683484008558</v>
      </c>
      <c r="L261" s="17">
        <v>0</v>
      </c>
      <c r="M261" s="346">
        <v>0.3</v>
      </c>
      <c r="N261" s="17">
        <v>2</v>
      </c>
      <c r="O261" s="346">
        <v>0</v>
      </c>
      <c r="P261" s="17">
        <v>5</v>
      </c>
    </row>
    <row r="262" spans="1:16">
      <c r="A262" s="10" t="str">
        <f t="shared" ca="1" si="12"/>
        <v/>
      </c>
      <c r="B262" s="65" t="s">
        <v>238</v>
      </c>
      <c r="C262" s="350" t="s">
        <v>808</v>
      </c>
      <c r="D262" s="10" t="s">
        <v>47</v>
      </c>
      <c r="E262" s="353" t="s">
        <v>552</v>
      </c>
      <c r="F262" s="352">
        <v>1</v>
      </c>
      <c r="G262" s="17">
        <f t="shared" si="13"/>
        <v>10.195006306503208</v>
      </c>
      <c r="H262" s="17">
        <f t="shared" si="14"/>
        <v>0</v>
      </c>
      <c r="I262" s="17">
        <v>10.195006306503208</v>
      </c>
      <c r="J262" s="17">
        <v>0</v>
      </c>
      <c r="K262" s="17">
        <v>33.983354355010697</v>
      </c>
      <c r="L262" s="17">
        <v>0</v>
      </c>
      <c r="M262" s="346">
        <v>0.3</v>
      </c>
      <c r="N262" s="17">
        <v>2</v>
      </c>
      <c r="O262" s="346">
        <v>0</v>
      </c>
      <c r="P262" s="17">
        <v>5</v>
      </c>
    </row>
    <row r="263" spans="1:16">
      <c r="A263" s="10" t="str">
        <f t="shared" ca="1" si="12"/>
        <v/>
      </c>
      <c r="B263" s="65" t="s">
        <v>238</v>
      </c>
      <c r="C263" s="350" t="s">
        <v>809</v>
      </c>
      <c r="D263" s="10" t="s">
        <v>47</v>
      </c>
      <c r="E263" s="353" t="s">
        <v>507</v>
      </c>
      <c r="F263" s="352">
        <v>1</v>
      </c>
      <c r="G263" s="17">
        <f t="shared" si="13"/>
        <v>10.195006306503208</v>
      </c>
      <c r="H263" s="17">
        <f t="shared" si="14"/>
        <v>0</v>
      </c>
      <c r="I263" s="17">
        <v>10.195006306503208</v>
      </c>
      <c r="J263" s="17">
        <v>0</v>
      </c>
      <c r="K263" s="17">
        <v>33.983354355010697</v>
      </c>
      <c r="L263" s="17">
        <v>0</v>
      </c>
      <c r="M263" s="346">
        <v>0.3</v>
      </c>
      <c r="N263" s="17">
        <v>2</v>
      </c>
      <c r="O263" s="346">
        <v>0</v>
      </c>
      <c r="P263" s="17">
        <v>5</v>
      </c>
    </row>
    <row r="264" spans="1:16">
      <c r="A264" s="10" t="str">
        <f t="shared" ca="1" si="12"/>
        <v/>
      </c>
      <c r="B264" s="65" t="s">
        <v>238</v>
      </c>
      <c r="C264" s="350" t="s">
        <v>2035</v>
      </c>
      <c r="D264" s="10" t="s">
        <v>47</v>
      </c>
      <c r="E264" s="353" t="s">
        <v>502</v>
      </c>
      <c r="F264" s="352">
        <v>2</v>
      </c>
      <c r="G264" s="17">
        <f t="shared" si="13"/>
        <v>1.2234007567803851</v>
      </c>
      <c r="H264" s="17">
        <f t="shared" si="14"/>
        <v>0</v>
      </c>
      <c r="I264" s="17">
        <v>1.2234007567803851</v>
      </c>
      <c r="J264" s="17">
        <v>0</v>
      </c>
      <c r="K264" s="17">
        <v>13.593341742004279</v>
      </c>
      <c r="L264" s="17">
        <v>0</v>
      </c>
      <c r="M264" s="346">
        <v>0.3</v>
      </c>
      <c r="N264" s="17">
        <v>2</v>
      </c>
      <c r="O264" s="346">
        <v>0</v>
      </c>
      <c r="P264" s="17">
        <v>5</v>
      </c>
    </row>
    <row r="265" spans="1:16">
      <c r="A265" s="10">
        <f t="shared" ca="1" si="12"/>
        <v>267</v>
      </c>
      <c r="B265" s="65" t="s">
        <v>267</v>
      </c>
      <c r="C265" s="350" t="s">
        <v>2245</v>
      </c>
      <c r="D265" s="10" t="s">
        <v>47</v>
      </c>
      <c r="E265" s="353" t="s">
        <v>541</v>
      </c>
      <c r="F265" s="352">
        <v>5</v>
      </c>
      <c r="G265" s="17">
        <f t="shared" si="13"/>
        <v>2280.7923473022561</v>
      </c>
      <c r="H265" s="17">
        <f t="shared" si="14"/>
        <v>0</v>
      </c>
      <c r="I265" s="17">
        <v>2280.7923473022561</v>
      </c>
      <c r="J265" s="17">
        <v>0</v>
      </c>
      <c r="K265" s="17">
        <v>7602.6411576741866</v>
      </c>
      <c r="L265" s="17">
        <v>0</v>
      </c>
      <c r="M265" s="346">
        <v>0.3</v>
      </c>
      <c r="N265" s="17">
        <v>2</v>
      </c>
      <c r="O265" s="346">
        <v>0</v>
      </c>
      <c r="P265" s="17">
        <v>5</v>
      </c>
    </row>
    <row r="266" spans="1:16">
      <c r="A266" s="10" t="str">
        <f t="shared" ca="1" si="12"/>
        <v/>
      </c>
      <c r="B266" s="65" t="s">
        <v>267</v>
      </c>
      <c r="C266" s="350" t="s">
        <v>810</v>
      </c>
      <c r="D266" s="10" t="s">
        <v>47</v>
      </c>
      <c r="E266" s="353" t="s">
        <v>496</v>
      </c>
      <c r="F266" s="352">
        <v>1</v>
      </c>
      <c r="G266" s="17">
        <f t="shared" si="13"/>
        <v>345.57459807609939</v>
      </c>
      <c r="H266" s="17">
        <f t="shared" si="14"/>
        <v>0</v>
      </c>
      <c r="I266" s="17">
        <v>345.57459807609939</v>
      </c>
      <c r="J266" s="17">
        <v>0</v>
      </c>
      <c r="K266" s="17">
        <v>1151.9153269203314</v>
      </c>
      <c r="L266" s="17">
        <v>0</v>
      </c>
      <c r="M266" s="346">
        <v>0.3</v>
      </c>
      <c r="N266" s="17">
        <v>2</v>
      </c>
      <c r="O266" s="346">
        <v>0</v>
      </c>
      <c r="P266" s="17">
        <v>5</v>
      </c>
    </row>
    <row r="267" spans="1:16">
      <c r="A267" s="10" t="str">
        <f t="shared" ca="1" si="12"/>
        <v/>
      </c>
      <c r="B267" s="65" t="s">
        <v>267</v>
      </c>
      <c r="C267" s="350" t="s">
        <v>811</v>
      </c>
      <c r="D267" s="10" t="s">
        <v>47</v>
      </c>
      <c r="E267" s="353" t="s">
        <v>501</v>
      </c>
      <c r="F267" s="352">
        <v>2</v>
      </c>
      <c r="G267" s="17">
        <f t="shared" si="13"/>
        <v>311.01713826848936</v>
      </c>
      <c r="H267" s="17">
        <f t="shared" si="14"/>
        <v>0</v>
      </c>
      <c r="I267" s="17">
        <v>311.01713826848936</v>
      </c>
      <c r="J267" s="17">
        <v>0</v>
      </c>
      <c r="K267" s="17">
        <v>3455.7459807609935</v>
      </c>
      <c r="L267" s="17">
        <v>0</v>
      </c>
      <c r="M267" s="346">
        <v>0.3</v>
      </c>
      <c r="N267" s="17">
        <v>2</v>
      </c>
      <c r="O267" s="346">
        <v>0</v>
      </c>
      <c r="P267" s="17">
        <v>5</v>
      </c>
    </row>
    <row r="268" spans="1:16">
      <c r="A268" s="10">
        <f t="shared" ca="1" si="12"/>
        <v>278</v>
      </c>
      <c r="B268" s="65" t="s">
        <v>247</v>
      </c>
      <c r="C268" s="350" t="s">
        <v>2036</v>
      </c>
      <c r="D268" s="10" t="s">
        <v>47</v>
      </c>
      <c r="E268" s="353" t="s">
        <v>2037</v>
      </c>
      <c r="F268" s="352">
        <v>1</v>
      </c>
      <c r="G268" s="17">
        <f t="shared" si="13"/>
        <v>423.5898014874395</v>
      </c>
      <c r="H268" s="17">
        <f t="shared" si="14"/>
        <v>0</v>
      </c>
      <c r="I268" s="17">
        <v>423.5898014874395</v>
      </c>
      <c r="J268" s="17">
        <v>0</v>
      </c>
      <c r="K268" s="17">
        <v>1411.9660049581316</v>
      </c>
      <c r="L268" s="17">
        <v>0</v>
      </c>
      <c r="M268" s="346">
        <v>0.3</v>
      </c>
      <c r="N268" s="17">
        <v>2</v>
      </c>
      <c r="O268" s="346">
        <v>0</v>
      </c>
      <c r="P268" s="17">
        <v>5</v>
      </c>
    </row>
    <row r="269" spans="1:16">
      <c r="A269" s="10" t="str">
        <f t="shared" ca="1" si="12"/>
        <v/>
      </c>
      <c r="B269" s="65" t="s">
        <v>247</v>
      </c>
      <c r="C269" s="350" t="s">
        <v>2038</v>
      </c>
      <c r="D269" s="10" t="s">
        <v>47</v>
      </c>
      <c r="E269" s="353" t="s">
        <v>508</v>
      </c>
      <c r="F269" s="352">
        <v>1</v>
      </c>
      <c r="G269" s="17">
        <f t="shared" si="13"/>
        <v>423.5898014874395</v>
      </c>
      <c r="H269" s="17">
        <f t="shared" si="14"/>
        <v>0</v>
      </c>
      <c r="I269" s="17">
        <v>423.5898014874395</v>
      </c>
      <c r="J269" s="17">
        <v>0</v>
      </c>
      <c r="K269" s="17">
        <v>1411.9660049581316</v>
      </c>
      <c r="L269" s="17">
        <v>0</v>
      </c>
      <c r="M269" s="346">
        <v>0.3</v>
      </c>
      <c r="N269" s="17">
        <v>2</v>
      </c>
      <c r="O269" s="346">
        <v>0</v>
      </c>
      <c r="P269" s="17">
        <v>5</v>
      </c>
    </row>
    <row r="270" spans="1:16">
      <c r="A270" s="10" t="str">
        <f t="shared" ca="1" si="12"/>
        <v/>
      </c>
      <c r="B270" s="65" t="s">
        <v>247</v>
      </c>
      <c r="C270" s="350" t="s">
        <v>2039</v>
      </c>
      <c r="D270" s="10" t="s">
        <v>47</v>
      </c>
      <c r="E270" s="353" t="s">
        <v>2246</v>
      </c>
      <c r="F270" s="352">
        <v>2</v>
      </c>
      <c r="G270" s="17">
        <f t="shared" si="13"/>
        <v>84.717960297487906</v>
      </c>
      <c r="H270" s="17">
        <f t="shared" si="14"/>
        <v>0</v>
      </c>
      <c r="I270" s="17">
        <v>84.717960297487906</v>
      </c>
      <c r="J270" s="17">
        <v>0</v>
      </c>
      <c r="K270" s="17">
        <v>941.31066997208791</v>
      </c>
      <c r="L270" s="17">
        <v>0</v>
      </c>
      <c r="M270" s="346">
        <v>0.3</v>
      </c>
      <c r="N270" s="17">
        <v>2</v>
      </c>
      <c r="O270" s="346">
        <v>0</v>
      </c>
      <c r="P270" s="17">
        <v>5</v>
      </c>
    </row>
    <row r="271" spans="1:16">
      <c r="A271" s="10" t="str">
        <f t="shared" ca="1" si="12"/>
        <v/>
      </c>
      <c r="B271" s="65" t="s">
        <v>247</v>
      </c>
      <c r="C271" s="350" t="s">
        <v>2040</v>
      </c>
      <c r="D271" s="10" t="s">
        <v>47</v>
      </c>
      <c r="E271" s="353" t="s">
        <v>2041</v>
      </c>
      <c r="F271" s="352">
        <v>1</v>
      </c>
      <c r="G271" s="17">
        <f t="shared" si="13"/>
        <v>282.39320099162637</v>
      </c>
      <c r="H271" s="17">
        <f t="shared" si="14"/>
        <v>0</v>
      </c>
      <c r="I271" s="17">
        <v>282.39320099162637</v>
      </c>
      <c r="J271" s="17">
        <v>0</v>
      </c>
      <c r="K271" s="17">
        <v>941.31066997208791</v>
      </c>
      <c r="L271" s="17">
        <v>0</v>
      </c>
      <c r="M271" s="346">
        <v>0.3</v>
      </c>
      <c r="N271" s="17">
        <v>2</v>
      </c>
      <c r="O271" s="346">
        <v>0</v>
      </c>
      <c r="P271" s="17">
        <v>5</v>
      </c>
    </row>
    <row r="272" spans="1:16">
      <c r="A272" s="10" t="str">
        <f t="shared" ca="1" si="12"/>
        <v/>
      </c>
      <c r="B272" s="65" t="s">
        <v>247</v>
      </c>
      <c r="C272" s="350" t="s">
        <v>812</v>
      </c>
      <c r="D272" s="10" t="s">
        <v>47</v>
      </c>
      <c r="E272" s="353" t="s">
        <v>501</v>
      </c>
      <c r="F272" s="352">
        <v>2</v>
      </c>
      <c r="G272" s="17">
        <f t="shared" si="13"/>
        <v>211.79490074371975</v>
      </c>
      <c r="H272" s="17">
        <f t="shared" si="14"/>
        <v>0</v>
      </c>
      <c r="I272" s="17">
        <v>211.79490074371975</v>
      </c>
      <c r="J272" s="17">
        <v>0</v>
      </c>
      <c r="K272" s="17">
        <v>2353.2766749302195</v>
      </c>
      <c r="L272" s="17">
        <v>0</v>
      </c>
      <c r="M272" s="346">
        <v>0.3</v>
      </c>
      <c r="N272" s="17">
        <v>2</v>
      </c>
      <c r="O272" s="346">
        <v>0</v>
      </c>
      <c r="P272" s="17">
        <v>5</v>
      </c>
    </row>
    <row r="273" spans="1:16">
      <c r="A273" s="10" t="str">
        <f t="shared" ca="1" si="12"/>
        <v/>
      </c>
      <c r="B273" s="65" t="s">
        <v>247</v>
      </c>
      <c r="C273" s="350" t="s">
        <v>813</v>
      </c>
      <c r="D273" s="10" t="s">
        <v>47</v>
      </c>
      <c r="E273" s="353" t="s">
        <v>494</v>
      </c>
      <c r="F273" s="352">
        <v>1</v>
      </c>
      <c r="G273" s="17">
        <f t="shared" si="13"/>
        <v>564.78640198325274</v>
      </c>
      <c r="H273" s="17">
        <f t="shared" si="14"/>
        <v>0</v>
      </c>
      <c r="I273" s="17">
        <v>564.78640198325274</v>
      </c>
      <c r="J273" s="17">
        <v>0</v>
      </c>
      <c r="K273" s="17">
        <v>1882.6213399441758</v>
      </c>
      <c r="L273" s="17">
        <v>0</v>
      </c>
      <c r="M273" s="346">
        <v>0.3</v>
      </c>
      <c r="N273" s="17">
        <v>2</v>
      </c>
      <c r="O273" s="346">
        <v>0</v>
      </c>
      <c r="P273" s="17">
        <v>5</v>
      </c>
    </row>
    <row r="274" spans="1:16">
      <c r="A274" s="10" t="str">
        <f t="shared" ca="1" si="12"/>
        <v/>
      </c>
      <c r="B274" s="65" t="s">
        <v>247</v>
      </c>
      <c r="C274" s="350" t="s">
        <v>2042</v>
      </c>
      <c r="D274" s="10" t="s">
        <v>47</v>
      </c>
      <c r="E274" s="353" t="s">
        <v>1966</v>
      </c>
      <c r="F274" s="352">
        <v>1</v>
      </c>
      <c r="G274" s="17">
        <f t="shared" si="13"/>
        <v>564.78640198325274</v>
      </c>
      <c r="H274" s="17">
        <f t="shared" si="14"/>
        <v>0</v>
      </c>
      <c r="I274" s="17">
        <v>564.78640198325274</v>
      </c>
      <c r="J274" s="17">
        <v>0</v>
      </c>
      <c r="K274" s="17">
        <v>1882.6213399441758</v>
      </c>
      <c r="L274" s="17">
        <v>0</v>
      </c>
      <c r="M274" s="346">
        <v>0.3</v>
      </c>
      <c r="N274" s="17">
        <v>2</v>
      </c>
      <c r="O274" s="346">
        <v>0</v>
      </c>
      <c r="P274" s="17">
        <v>5</v>
      </c>
    </row>
    <row r="275" spans="1:16">
      <c r="A275" s="10" t="str">
        <f t="shared" ca="1" si="12"/>
        <v/>
      </c>
      <c r="B275" s="65" t="s">
        <v>247</v>
      </c>
      <c r="C275" s="350" t="s">
        <v>814</v>
      </c>
      <c r="D275" s="10" t="s">
        <v>47</v>
      </c>
      <c r="E275" s="353" t="s">
        <v>495</v>
      </c>
      <c r="F275" s="352">
        <v>5</v>
      </c>
      <c r="G275" s="17">
        <f t="shared" si="13"/>
        <v>705.98300247906582</v>
      </c>
      <c r="H275" s="17">
        <f t="shared" si="14"/>
        <v>0</v>
      </c>
      <c r="I275" s="17">
        <v>705.98300247906582</v>
      </c>
      <c r="J275" s="17">
        <v>0</v>
      </c>
      <c r="K275" s="17">
        <v>2353.2766749302195</v>
      </c>
      <c r="L275" s="17">
        <v>0</v>
      </c>
      <c r="M275" s="346">
        <v>0.3</v>
      </c>
      <c r="N275" s="17">
        <v>2</v>
      </c>
      <c r="O275" s="346">
        <v>0</v>
      </c>
      <c r="P275" s="17">
        <v>5</v>
      </c>
    </row>
    <row r="276" spans="1:16">
      <c r="A276" s="10" t="str">
        <f t="shared" ca="1" si="12"/>
        <v/>
      </c>
      <c r="B276" s="65" t="s">
        <v>247</v>
      </c>
      <c r="C276" s="350" t="s">
        <v>2043</v>
      </c>
      <c r="D276" s="10" t="s">
        <v>47</v>
      </c>
      <c r="E276" s="353" t="s">
        <v>538</v>
      </c>
      <c r="F276" s="352">
        <v>2</v>
      </c>
      <c r="G276" s="17">
        <f t="shared" si="13"/>
        <v>84.717960297487906</v>
      </c>
      <c r="H276" s="17">
        <f t="shared" si="14"/>
        <v>0</v>
      </c>
      <c r="I276" s="17">
        <v>84.717960297487906</v>
      </c>
      <c r="J276" s="17">
        <v>0</v>
      </c>
      <c r="K276" s="17">
        <v>941.31066997208791</v>
      </c>
      <c r="L276" s="17">
        <v>0</v>
      </c>
      <c r="M276" s="346">
        <v>0.3</v>
      </c>
      <c r="N276" s="17">
        <v>2</v>
      </c>
      <c r="O276" s="346">
        <v>0</v>
      </c>
      <c r="P276" s="17">
        <v>5</v>
      </c>
    </row>
    <row r="277" spans="1:16">
      <c r="A277" s="10" t="str">
        <f t="shared" ca="1" si="12"/>
        <v/>
      </c>
      <c r="B277" s="65" t="s">
        <v>247</v>
      </c>
      <c r="C277" s="350" t="s">
        <v>815</v>
      </c>
      <c r="D277" s="10" t="s">
        <v>47</v>
      </c>
      <c r="E277" s="353" t="s">
        <v>511</v>
      </c>
      <c r="F277" s="352">
        <v>8</v>
      </c>
      <c r="G277" s="17">
        <f t="shared" si="13"/>
        <v>564.78640198325274</v>
      </c>
      <c r="H277" s="17">
        <f t="shared" si="14"/>
        <v>0</v>
      </c>
      <c r="I277" s="17">
        <v>564.78640198325274</v>
      </c>
      <c r="J277" s="17">
        <v>0</v>
      </c>
      <c r="K277" s="17">
        <v>1882.6213399441758</v>
      </c>
      <c r="L277" s="17">
        <v>0</v>
      </c>
      <c r="M277" s="346">
        <v>0.3</v>
      </c>
      <c r="N277" s="17">
        <v>2</v>
      </c>
      <c r="O277" s="346">
        <v>0</v>
      </c>
      <c r="P277" s="17">
        <v>5</v>
      </c>
    </row>
    <row r="278" spans="1:16">
      <c r="A278" s="10" t="str">
        <f t="shared" ca="1" si="12"/>
        <v/>
      </c>
      <c r="B278" s="65" t="s">
        <v>247</v>
      </c>
      <c r="C278" s="350" t="s">
        <v>816</v>
      </c>
      <c r="D278" s="10" t="s">
        <v>47</v>
      </c>
      <c r="E278" s="353" t="s">
        <v>502</v>
      </c>
      <c r="F278" s="352">
        <v>2</v>
      </c>
      <c r="G278" s="17">
        <f t="shared" si="13"/>
        <v>254.15388089246369</v>
      </c>
      <c r="H278" s="17">
        <f t="shared" si="14"/>
        <v>0</v>
      </c>
      <c r="I278" s="17">
        <v>254.15388089246369</v>
      </c>
      <c r="J278" s="17">
        <v>0</v>
      </c>
      <c r="K278" s="17">
        <v>2823.9320099162633</v>
      </c>
      <c r="L278" s="17">
        <v>0</v>
      </c>
      <c r="M278" s="346">
        <v>0.3</v>
      </c>
      <c r="N278" s="17">
        <v>2</v>
      </c>
      <c r="O278" s="346">
        <v>0</v>
      </c>
      <c r="P278" s="17">
        <v>5</v>
      </c>
    </row>
    <row r="279" spans="1:16">
      <c r="A279" s="10">
        <f t="shared" ca="1" si="12"/>
        <v>291</v>
      </c>
      <c r="B279" s="65" t="s">
        <v>285</v>
      </c>
      <c r="C279" s="350" t="s">
        <v>2247</v>
      </c>
      <c r="D279" s="10" t="s">
        <v>47</v>
      </c>
      <c r="E279" s="353" t="s">
        <v>541</v>
      </c>
      <c r="F279" s="352">
        <v>5</v>
      </c>
      <c r="G279" s="17">
        <f t="shared" si="13"/>
        <v>6364.700963440725</v>
      </c>
      <c r="H279" s="17">
        <f t="shared" si="14"/>
        <v>0</v>
      </c>
      <c r="I279" s="17">
        <v>6364.700963440725</v>
      </c>
      <c r="J279" s="17">
        <v>0</v>
      </c>
      <c r="K279" s="17">
        <v>21215.669878135752</v>
      </c>
      <c r="L279" s="17">
        <v>0</v>
      </c>
      <c r="M279" s="346">
        <v>0.3</v>
      </c>
      <c r="N279" s="17">
        <v>2</v>
      </c>
      <c r="O279" s="346">
        <v>0</v>
      </c>
      <c r="P279" s="17">
        <v>5</v>
      </c>
    </row>
    <row r="280" spans="1:16">
      <c r="A280" s="10" t="str">
        <f t="shared" ca="1" si="12"/>
        <v/>
      </c>
      <c r="B280" s="65" t="s">
        <v>285</v>
      </c>
      <c r="C280" s="350" t="s">
        <v>817</v>
      </c>
      <c r="D280" s="10" t="s">
        <v>47</v>
      </c>
      <c r="E280" s="353" t="s">
        <v>499</v>
      </c>
      <c r="F280" s="352">
        <v>1</v>
      </c>
      <c r="G280" s="17">
        <f t="shared" si="13"/>
        <v>3182.3504817203625</v>
      </c>
      <c r="H280" s="17">
        <f t="shared" si="14"/>
        <v>0</v>
      </c>
      <c r="I280" s="17">
        <v>3182.3504817203625</v>
      </c>
      <c r="J280" s="17">
        <v>0</v>
      </c>
      <c r="K280" s="17">
        <v>10607.834939067876</v>
      </c>
      <c r="L280" s="17">
        <v>0</v>
      </c>
      <c r="M280" s="346">
        <v>0.3</v>
      </c>
      <c r="N280" s="17">
        <v>2</v>
      </c>
      <c r="O280" s="346">
        <v>0</v>
      </c>
      <c r="P280" s="17">
        <v>5</v>
      </c>
    </row>
    <row r="281" spans="1:16">
      <c r="A281" s="10" t="str">
        <f t="shared" ca="1" si="12"/>
        <v/>
      </c>
      <c r="B281" s="65" t="s">
        <v>285</v>
      </c>
      <c r="C281" s="350" t="s">
        <v>2248</v>
      </c>
      <c r="D281" s="10" t="s">
        <v>47</v>
      </c>
      <c r="E281" s="353" t="s">
        <v>2249</v>
      </c>
      <c r="F281" s="352">
        <v>1</v>
      </c>
      <c r="G281" s="17">
        <f t="shared" si="13"/>
        <v>10183.521541505163</v>
      </c>
      <c r="H281" s="17">
        <f t="shared" si="14"/>
        <v>0</v>
      </c>
      <c r="I281" s="17">
        <v>10183.521541505163</v>
      </c>
      <c r="J281" s="17">
        <v>0</v>
      </c>
      <c r="K281" s="17">
        <v>33945.071805017207</v>
      </c>
      <c r="L281" s="17">
        <v>0</v>
      </c>
      <c r="M281" s="346">
        <v>0.3</v>
      </c>
      <c r="N281" s="17">
        <v>2</v>
      </c>
      <c r="O281" s="346">
        <v>0</v>
      </c>
      <c r="P281" s="17">
        <v>5</v>
      </c>
    </row>
    <row r="282" spans="1:16">
      <c r="A282" s="10" t="str">
        <f t="shared" ca="1" si="12"/>
        <v/>
      </c>
      <c r="B282" s="65" t="s">
        <v>285</v>
      </c>
      <c r="C282" s="350" t="s">
        <v>818</v>
      </c>
      <c r="D282" s="10" t="s">
        <v>47</v>
      </c>
      <c r="E282" s="353" t="s">
        <v>509</v>
      </c>
      <c r="F282" s="352">
        <v>3</v>
      </c>
      <c r="G282" s="17">
        <f t="shared" si="13"/>
        <v>2545.8803853762906</v>
      </c>
      <c r="H282" s="17">
        <f t="shared" si="14"/>
        <v>0</v>
      </c>
      <c r="I282" s="17">
        <v>2545.8803853762906</v>
      </c>
      <c r="J282" s="17">
        <v>0</v>
      </c>
      <c r="K282" s="17">
        <v>8486.2679512543018</v>
      </c>
      <c r="L282" s="17">
        <v>0</v>
      </c>
      <c r="M282" s="346">
        <v>0.3</v>
      </c>
      <c r="N282" s="17">
        <v>2</v>
      </c>
      <c r="O282" s="346">
        <v>0</v>
      </c>
      <c r="P282" s="17">
        <v>5</v>
      </c>
    </row>
    <row r="283" spans="1:16">
      <c r="A283" s="10" t="str">
        <f t="shared" ca="1" si="12"/>
        <v/>
      </c>
      <c r="B283" s="65" t="s">
        <v>285</v>
      </c>
      <c r="C283" s="350" t="s">
        <v>819</v>
      </c>
      <c r="D283" s="10" t="s">
        <v>47</v>
      </c>
      <c r="E283" s="353" t="s">
        <v>496</v>
      </c>
      <c r="F283" s="352">
        <v>1</v>
      </c>
      <c r="G283" s="17">
        <f t="shared" si="13"/>
        <v>3818.8205780644348</v>
      </c>
      <c r="H283" s="17">
        <f t="shared" si="14"/>
        <v>0</v>
      </c>
      <c r="I283" s="17">
        <v>3818.8205780644348</v>
      </c>
      <c r="J283" s="17">
        <v>0</v>
      </c>
      <c r="K283" s="17">
        <v>12729.40192688145</v>
      </c>
      <c r="L283" s="17">
        <v>0</v>
      </c>
      <c r="M283" s="346">
        <v>0.3</v>
      </c>
      <c r="N283" s="17">
        <v>2</v>
      </c>
      <c r="O283" s="346">
        <v>0</v>
      </c>
      <c r="P283" s="17">
        <v>5</v>
      </c>
    </row>
    <row r="284" spans="1:16">
      <c r="A284" s="10" t="str">
        <f t="shared" ca="1" si="12"/>
        <v/>
      </c>
      <c r="B284" s="65" t="s">
        <v>285</v>
      </c>
      <c r="C284" s="350" t="s">
        <v>2044</v>
      </c>
      <c r="D284" s="10" t="s">
        <v>47</v>
      </c>
      <c r="E284" s="353" t="s">
        <v>1976</v>
      </c>
      <c r="F284" s="352">
        <v>1</v>
      </c>
      <c r="G284" s="17">
        <f t="shared" si="13"/>
        <v>5091.7607707525813</v>
      </c>
      <c r="H284" s="17">
        <f t="shared" si="14"/>
        <v>0</v>
      </c>
      <c r="I284" s="17">
        <v>5091.7607707525813</v>
      </c>
      <c r="J284" s="17">
        <v>0</v>
      </c>
      <c r="K284" s="17">
        <v>16972.535902508604</v>
      </c>
      <c r="L284" s="17">
        <v>0</v>
      </c>
      <c r="M284" s="346">
        <v>0.3</v>
      </c>
      <c r="N284" s="17">
        <v>2</v>
      </c>
      <c r="O284" s="346">
        <v>0</v>
      </c>
      <c r="P284" s="17">
        <v>5</v>
      </c>
    </row>
    <row r="285" spans="1:16">
      <c r="A285" s="10" t="str">
        <f t="shared" ca="1" si="12"/>
        <v/>
      </c>
      <c r="B285" s="65" t="s">
        <v>285</v>
      </c>
      <c r="C285" s="350" t="s">
        <v>2250</v>
      </c>
      <c r="D285" s="10" t="s">
        <v>47</v>
      </c>
      <c r="E285" s="353" t="s">
        <v>2181</v>
      </c>
      <c r="F285" s="352">
        <v>2</v>
      </c>
      <c r="G285" s="17">
        <f t="shared" si="13"/>
        <v>572.82308670966518</v>
      </c>
      <c r="H285" s="17">
        <f t="shared" si="14"/>
        <v>0</v>
      </c>
      <c r="I285" s="17">
        <v>572.82308670966518</v>
      </c>
      <c r="J285" s="17">
        <v>0</v>
      </c>
      <c r="K285" s="17">
        <v>6364.700963440725</v>
      </c>
      <c r="L285" s="17">
        <v>0</v>
      </c>
      <c r="M285" s="346">
        <v>0.3</v>
      </c>
      <c r="N285" s="17">
        <v>2</v>
      </c>
      <c r="O285" s="346">
        <v>0</v>
      </c>
      <c r="P285" s="17">
        <v>5</v>
      </c>
    </row>
    <row r="286" spans="1:16">
      <c r="A286" s="10" t="str">
        <f t="shared" ca="1" si="12"/>
        <v/>
      </c>
      <c r="B286" s="65" t="s">
        <v>285</v>
      </c>
      <c r="C286" s="350" t="s">
        <v>820</v>
      </c>
      <c r="D286" s="10" t="s">
        <v>47</v>
      </c>
      <c r="E286" s="353" t="s">
        <v>494</v>
      </c>
      <c r="F286" s="352">
        <v>2</v>
      </c>
      <c r="G286" s="17">
        <f t="shared" si="13"/>
        <v>1909.4102890322174</v>
      </c>
      <c r="H286" s="17">
        <f t="shared" si="14"/>
        <v>0</v>
      </c>
      <c r="I286" s="17">
        <v>1909.4102890322174</v>
      </c>
      <c r="J286" s="17">
        <v>0</v>
      </c>
      <c r="K286" s="17">
        <v>21215.669878135752</v>
      </c>
      <c r="L286" s="17">
        <v>0</v>
      </c>
      <c r="M286" s="346">
        <v>0.3</v>
      </c>
      <c r="N286" s="17">
        <v>2</v>
      </c>
      <c r="O286" s="346">
        <v>0</v>
      </c>
      <c r="P286" s="17">
        <v>5</v>
      </c>
    </row>
    <row r="287" spans="1:16">
      <c r="A287" s="10" t="str">
        <f t="shared" ca="1" si="12"/>
        <v/>
      </c>
      <c r="B287" s="65" t="s">
        <v>285</v>
      </c>
      <c r="C287" s="350" t="s">
        <v>2045</v>
      </c>
      <c r="D287" s="10" t="s">
        <v>47</v>
      </c>
      <c r="E287" s="353" t="s">
        <v>1966</v>
      </c>
      <c r="F287" s="352">
        <v>1</v>
      </c>
      <c r="G287" s="17">
        <f t="shared" si="13"/>
        <v>6364.700963440725</v>
      </c>
      <c r="H287" s="17">
        <f t="shared" si="14"/>
        <v>0</v>
      </c>
      <c r="I287" s="17">
        <v>6364.700963440725</v>
      </c>
      <c r="J287" s="17">
        <v>0</v>
      </c>
      <c r="K287" s="17">
        <v>21215.669878135752</v>
      </c>
      <c r="L287" s="17">
        <v>0</v>
      </c>
      <c r="M287" s="346">
        <v>0.3</v>
      </c>
      <c r="N287" s="17">
        <v>2</v>
      </c>
      <c r="O287" s="346">
        <v>0</v>
      </c>
      <c r="P287" s="17">
        <v>5</v>
      </c>
    </row>
    <row r="288" spans="1:16">
      <c r="A288" s="10" t="str">
        <f t="shared" ca="1" si="12"/>
        <v/>
      </c>
      <c r="B288" s="65" t="s">
        <v>285</v>
      </c>
      <c r="C288" s="350" t="s">
        <v>821</v>
      </c>
      <c r="D288" s="10" t="s">
        <v>47</v>
      </c>
      <c r="E288" s="353" t="s">
        <v>495</v>
      </c>
      <c r="F288" s="352">
        <v>5</v>
      </c>
      <c r="G288" s="17">
        <f t="shared" si="13"/>
        <v>3818.8205780644348</v>
      </c>
      <c r="H288" s="17">
        <f t="shared" si="14"/>
        <v>0</v>
      </c>
      <c r="I288" s="17">
        <v>3818.8205780644348</v>
      </c>
      <c r="J288" s="17">
        <v>0</v>
      </c>
      <c r="K288" s="17">
        <v>12729.40192688145</v>
      </c>
      <c r="L288" s="17">
        <v>0</v>
      </c>
      <c r="M288" s="346">
        <v>0.3</v>
      </c>
      <c r="N288" s="17">
        <v>2</v>
      </c>
      <c r="O288" s="346">
        <v>0</v>
      </c>
      <c r="P288" s="17">
        <v>5</v>
      </c>
    </row>
    <row r="289" spans="1:16">
      <c r="A289" s="10" t="str">
        <f t="shared" ca="1" si="12"/>
        <v/>
      </c>
      <c r="B289" s="65" t="s">
        <v>285</v>
      </c>
      <c r="C289" s="350" t="s">
        <v>2046</v>
      </c>
      <c r="D289" s="10" t="s">
        <v>47</v>
      </c>
      <c r="E289" s="353" t="s">
        <v>538</v>
      </c>
      <c r="F289" s="352">
        <v>2</v>
      </c>
      <c r="G289" s="17">
        <f t="shared" si="13"/>
        <v>381.88205780644358</v>
      </c>
      <c r="H289" s="17">
        <f t="shared" si="14"/>
        <v>0</v>
      </c>
      <c r="I289" s="17">
        <v>381.88205780644358</v>
      </c>
      <c r="J289" s="17">
        <v>0</v>
      </c>
      <c r="K289" s="17">
        <v>4243.1339756271509</v>
      </c>
      <c r="L289" s="17">
        <v>0</v>
      </c>
      <c r="M289" s="346">
        <v>0.3</v>
      </c>
      <c r="N289" s="17">
        <v>2</v>
      </c>
      <c r="O289" s="346">
        <v>0</v>
      </c>
      <c r="P289" s="17">
        <v>5</v>
      </c>
    </row>
    <row r="290" spans="1:16">
      <c r="A290" s="10" t="str">
        <f t="shared" ca="1" si="12"/>
        <v/>
      </c>
      <c r="B290" s="65" t="s">
        <v>285</v>
      </c>
      <c r="C290" s="350" t="s">
        <v>2047</v>
      </c>
      <c r="D290" s="10" t="s">
        <v>47</v>
      </c>
      <c r="E290" s="353" t="s">
        <v>564</v>
      </c>
      <c r="F290" s="352">
        <v>8</v>
      </c>
      <c r="G290" s="17">
        <f t="shared" si="13"/>
        <v>1272.9401926881453</v>
      </c>
      <c r="H290" s="17">
        <f t="shared" si="14"/>
        <v>0</v>
      </c>
      <c r="I290" s="17">
        <v>1272.9401926881453</v>
      </c>
      <c r="J290" s="17">
        <v>0</v>
      </c>
      <c r="K290" s="17">
        <v>4243.1339756271509</v>
      </c>
      <c r="L290" s="17">
        <v>0</v>
      </c>
      <c r="M290" s="346">
        <v>0.3</v>
      </c>
      <c r="N290" s="17">
        <v>2</v>
      </c>
      <c r="O290" s="346">
        <v>0</v>
      </c>
      <c r="P290" s="17">
        <v>5</v>
      </c>
    </row>
    <row r="291" spans="1:16">
      <c r="A291" s="10" t="str">
        <f t="shared" ca="1" si="12"/>
        <v/>
      </c>
      <c r="B291" s="65" t="s">
        <v>285</v>
      </c>
      <c r="C291" s="350" t="s">
        <v>2251</v>
      </c>
      <c r="D291" s="10" t="s">
        <v>47</v>
      </c>
      <c r="E291" s="353" t="s">
        <v>2176</v>
      </c>
      <c r="F291" s="352">
        <v>2</v>
      </c>
      <c r="G291" s="17">
        <f t="shared" si="13"/>
        <v>2940.4918451096155</v>
      </c>
      <c r="H291" s="17">
        <f t="shared" si="14"/>
        <v>0</v>
      </c>
      <c r="I291" s="17">
        <v>2940.4918451096155</v>
      </c>
      <c r="J291" s="17">
        <v>0</v>
      </c>
      <c r="K291" s="17">
        <v>32672.13161232906</v>
      </c>
      <c r="L291" s="17">
        <v>0</v>
      </c>
      <c r="M291" s="346">
        <v>0.3</v>
      </c>
      <c r="N291" s="17">
        <v>2</v>
      </c>
      <c r="O291" s="346">
        <v>0</v>
      </c>
      <c r="P291" s="17">
        <v>5</v>
      </c>
    </row>
    <row r="292" spans="1:16">
      <c r="A292" s="10">
        <f t="shared" ca="1" si="12"/>
        <v>295</v>
      </c>
      <c r="B292" s="65" t="s">
        <v>258</v>
      </c>
      <c r="C292" s="350" t="s">
        <v>2048</v>
      </c>
      <c r="D292" s="10" t="s">
        <v>47</v>
      </c>
      <c r="E292" s="353" t="s">
        <v>1966</v>
      </c>
      <c r="F292" s="352">
        <v>1</v>
      </c>
      <c r="G292" s="17">
        <f t="shared" si="13"/>
        <v>34.025209675049183</v>
      </c>
      <c r="H292" s="17">
        <f t="shared" si="14"/>
        <v>0</v>
      </c>
      <c r="I292" s="17">
        <v>34.025209675049183</v>
      </c>
      <c r="J292" s="17">
        <v>0</v>
      </c>
      <c r="K292" s="17">
        <v>113.41736558349727</v>
      </c>
      <c r="L292" s="17">
        <v>0</v>
      </c>
      <c r="M292" s="346">
        <v>0.3</v>
      </c>
      <c r="N292" s="17">
        <v>2</v>
      </c>
      <c r="O292" s="346">
        <v>0</v>
      </c>
      <c r="P292" s="17">
        <v>5</v>
      </c>
    </row>
    <row r="293" spans="1:16">
      <c r="A293" s="10" t="str">
        <f t="shared" ca="1" si="12"/>
        <v/>
      </c>
      <c r="B293" s="65" t="s">
        <v>258</v>
      </c>
      <c r="C293" s="350" t="s">
        <v>2049</v>
      </c>
      <c r="D293" s="10" t="s">
        <v>47</v>
      </c>
      <c r="E293" s="353" t="s">
        <v>1982</v>
      </c>
      <c r="F293" s="352">
        <v>1</v>
      </c>
      <c r="G293" s="17">
        <f t="shared" si="13"/>
        <v>68.050419350098366</v>
      </c>
      <c r="H293" s="17">
        <f t="shared" si="14"/>
        <v>0</v>
      </c>
      <c r="I293" s="17">
        <v>68.050419350098366</v>
      </c>
      <c r="J293" s="17">
        <v>0</v>
      </c>
      <c r="K293" s="17">
        <v>226.83473116699454</v>
      </c>
      <c r="L293" s="17">
        <v>0</v>
      </c>
      <c r="M293" s="346">
        <v>0.3</v>
      </c>
      <c r="N293" s="17">
        <v>2</v>
      </c>
      <c r="O293" s="346">
        <v>0</v>
      </c>
      <c r="P293" s="17">
        <v>5</v>
      </c>
    </row>
    <row r="294" spans="1:16">
      <c r="A294" s="10" t="str">
        <f t="shared" ca="1" si="12"/>
        <v/>
      </c>
      <c r="B294" s="65" t="s">
        <v>258</v>
      </c>
      <c r="C294" s="350" t="s">
        <v>822</v>
      </c>
      <c r="D294" s="10" t="s">
        <v>47</v>
      </c>
      <c r="E294" s="353" t="s">
        <v>511</v>
      </c>
      <c r="F294" s="352">
        <v>8</v>
      </c>
      <c r="G294" s="17">
        <f t="shared" si="13"/>
        <v>34.025209675049183</v>
      </c>
      <c r="H294" s="17">
        <f t="shared" si="14"/>
        <v>0</v>
      </c>
      <c r="I294" s="17">
        <v>34.025209675049183</v>
      </c>
      <c r="J294" s="17">
        <v>0</v>
      </c>
      <c r="K294" s="17">
        <v>113.41736558349727</v>
      </c>
      <c r="L294" s="17">
        <v>0</v>
      </c>
      <c r="M294" s="346">
        <v>0.3</v>
      </c>
      <c r="N294" s="17">
        <v>2</v>
      </c>
      <c r="O294" s="346">
        <v>0</v>
      </c>
      <c r="P294" s="17">
        <v>5</v>
      </c>
    </row>
    <row r="295" spans="1:16">
      <c r="A295" s="10" t="str">
        <f t="shared" ca="1" si="12"/>
        <v/>
      </c>
      <c r="B295" s="65" t="s">
        <v>258</v>
      </c>
      <c r="C295" s="350" t="s">
        <v>823</v>
      </c>
      <c r="D295" s="10" t="s">
        <v>47</v>
      </c>
      <c r="E295" s="353" t="s">
        <v>502</v>
      </c>
      <c r="F295" s="352">
        <v>2</v>
      </c>
      <c r="G295" s="17">
        <f t="shared" si="13"/>
        <v>10.207562902514754</v>
      </c>
      <c r="H295" s="17">
        <f t="shared" si="14"/>
        <v>0</v>
      </c>
      <c r="I295" s="17">
        <v>10.207562902514754</v>
      </c>
      <c r="J295" s="17">
        <v>0</v>
      </c>
      <c r="K295" s="17">
        <v>113.41736558349727</v>
      </c>
      <c r="L295" s="17">
        <v>0</v>
      </c>
      <c r="M295" s="346">
        <v>0.3</v>
      </c>
      <c r="N295" s="17">
        <v>2</v>
      </c>
      <c r="O295" s="346">
        <v>0</v>
      </c>
      <c r="P295" s="17">
        <v>5</v>
      </c>
    </row>
    <row r="296" spans="1:16">
      <c r="A296" s="10">
        <f t="shared" ca="1" si="12"/>
        <v>298</v>
      </c>
      <c r="B296" s="65" t="s">
        <v>287</v>
      </c>
      <c r="C296" s="350" t="s">
        <v>2050</v>
      </c>
      <c r="D296" s="10" t="s">
        <v>47</v>
      </c>
      <c r="E296" s="353" t="s">
        <v>2051</v>
      </c>
      <c r="F296" s="352">
        <v>1</v>
      </c>
      <c r="G296" s="17">
        <f t="shared" si="13"/>
        <v>748.47214312247274</v>
      </c>
      <c r="H296" s="17">
        <f t="shared" si="14"/>
        <v>0</v>
      </c>
      <c r="I296" s="17">
        <v>748.47214312247274</v>
      </c>
      <c r="J296" s="17">
        <v>0</v>
      </c>
      <c r="K296" s="17">
        <v>2494.907143741576</v>
      </c>
      <c r="L296" s="17">
        <v>0</v>
      </c>
      <c r="M296" s="346">
        <v>0.3</v>
      </c>
      <c r="N296" s="17">
        <v>2</v>
      </c>
      <c r="O296" s="346">
        <v>0</v>
      </c>
      <c r="P296" s="17">
        <v>5</v>
      </c>
    </row>
    <row r="297" spans="1:16">
      <c r="A297" s="10" t="str">
        <f t="shared" ca="1" si="12"/>
        <v/>
      </c>
      <c r="B297" s="65" t="s">
        <v>287</v>
      </c>
      <c r="C297" s="350" t="s">
        <v>824</v>
      </c>
      <c r="D297" s="10" t="s">
        <v>47</v>
      </c>
      <c r="E297" s="353" t="s">
        <v>553</v>
      </c>
      <c r="F297" s="352">
        <v>1</v>
      </c>
      <c r="G297" s="17">
        <f t="shared" si="13"/>
        <v>748.47214312247274</v>
      </c>
      <c r="H297" s="17">
        <f t="shared" si="14"/>
        <v>0</v>
      </c>
      <c r="I297" s="17">
        <v>748.47214312247274</v>
      </c>
      <c r="J297" s="17">
        <v>0</v>
      </c>
      <c r="K297" s="17">
        <v>2494.907143741576</v>
      </c>
      <c r="L297" s="17">
        <v>0</v>
      </c>
      <c r="M297" s="346">
        <v>0.3</v>
      </c>
      <c r="N297" s="17">
        <v>2</v>
      </c>
      <c r="O297" s="346">
        <v>0</v>
      </c>
      <c r="P297" s="17">
        <v>5</v>
      </c>
    </row>
    <row r="298" spans="1:16">
      <c r="A298" s="10" t="str">
        <f t="shared" ca="1" si="12"/>
        <v/>
      </c>
      <c r="B298" s="65" t="s">
        <v>287</v>
      </c>
      <c r="C298" s="350" t="s">
        <v>825</v>
      </c>
      <c r="D298" s="10" t="s">
        <v>47</v>
      </c>
      <c r="E298" s="353" t="s">
        <v>504</v>
      </c>
      <c r="F298" s="352">
        <v>1</v>
      </c>
      <c r="G298" s="17">
        <f t="shared" si="13"/>
        <v>2494.907143741576</v>
      </c>
      <c r="H298" s="17">
        <f t="shared" si="14"/>
        <v>0</v>
      </c>
      <c r="I298" s="17">
        <v>2494.907143741576</v>
      </c>
      <c r="J298" s="17">
        <v>0</v>
      </c>
      <c r="K298" s="17">
        <v>8316.3571458052538</v>
      </c>
      <c r="L298" s="17">
        <v>0</v>
      </c>
      <c r="M298" s="346">
        <v>0.3</v>
      </c>
      <c r="N298" s="17">
        <v>2</v>
      </c>
      <c r="O298" s="346">
        <v>0</v>
      </c>
      <c r="P298" s="17">
        <v>5</v>
      </c>
    </row>
    <row r="299" spans="1:16">
      <c r="A299" s="10">
        <f t="shared" ca="1" si="12"/>
        <v>302</v>
      </c>
      <c r="B299" s="65" t="s">
        <v>286</v>
      </c>
      <c r="C299" s="350" t="s">
        <v>826</v>
      </c>
      <c r="D299" s="10" t="s">
        <v>47</v>
      </c>
      <c r="E299" s="353" t="s">
        <v>541</v>
      </c>
      <c r="F299" s="352">
        <v>5</v>
      </c>
      <c r="G299" s="17">
        <f t="shared" si="13"/>
        <v>407.16847046752014</v>
      </c>
      <c r="H299" s="17">
        <f t="shared" si="14"/>
        <v>0</v>
      </c>
      <c r="I299" s="17">
        <v>407.16847046752014</v>
      </c>
      <c r="J299" s="17">
        <v>0</v>
      </c>
      <c r="K299" s="17">
        <v>1357.2282348917338</v>
      </c>
      <c r="L299" s="17">
        <v>0</v>
      </c>
      <c r="M299" s="346">
        <v>0.3</v>
      </c>
      <c r="N299" s="17">
        <v>2</v>
      </c>
      <c r="O299" s="346">
        <v>0</v>
      </c>
      <c r="P299" s="17">
        <v>5</v>
      </c>
    </row>
    <row r="300" spans="1:16">
      <c r="A300" s="10" t="str">
        <f t="shared" ca="1" si="12"/>
        <v/>
      </c>
      <c r="B300" s="65" t="s">
        <v>286</v>
      </c>
      <c r="C300" s="350" t="s">
        <v>827</v>
      </c>
      <c r="D300" s="10" t="s">
        <v>47</v>
      </c>
      <c r="E300" s="353" t="s">
        <v>554</v>
      </c>
      <c r="F300" s="352">
        <v>2</v>
      </c>
      <c r="G300" s="17">
        <f t="shared" si="13"/>
        <v>122.15054114025604</v>
      </c>
      <c r="H300" s="17">
        <f t="shared" si="14"/>
        <v>0</v>
      </c>
      <c r="I300" s="17">
        <v>122.15054114025604</v>
      </c>
      <c r="J300" s="17">
        <v>0</v>
      </c>
      <c r="K300" s="17">
        <v>1357.2282348917338</v>
      </c>
      <c r="L300" s="17">
        <v>0</v>
      </c>
      <c r="M300" s="346">
        <v>0.3</v>
      </c>
      <c r="N300" s="17">
        <v>2</v>
      </c>
      <c r="O300" s="346">
        <v>0</v>
      </c>
      <c r="P300" s="17">
        <v>5</v>
      </c>
    </row>
    <row r="301" spans="1:16">
      <c r="A301" s="10" t="str">
        <f t="shared" ca="1" si="12"/>
        <v/>
      </c>
      <c r="B301" s="65" t="s">
        <v>286</v>
      </c>
      <c r="C301" s="350" t="s">
        <v>2052</v>
      </c>
      <c r="D301" s="10" t="s">
        <v>47</v>
      </c>
      <c r="E301" s="353" t="s">
        <v>495</v>
      </c>
      <c r="F301" s="352">
        <v>5</v>
      </c>
      <c r="G301" s="17">
        <f t="shared" si="13"/>
        <v>814.33694093504027</v>
      </c>
      <c r="H301" s="17">
        <f t="shared" si="14"/>
        <v>0</v>
      </c>
      <c r="I301" s="17">
        <v>814.33694093504027</v>
      </c>
      <c r="J301" s="17">
        <v>0</v>
      </c>
      <c r="K301" s="17">
        <v>2714.4564697834676</v>
      </c>
      <c r="L301" s="17">
        <v>0</v>
      </c>
      <c r="M301" s="346">
        <v>0.3</v>
      </c>
      <c r="N301" s="17">
        <v>2</v>
      </c>
      <c r="O301" s="346">
        <v>0</v>
      </c>
      <c r="P301" s="17">
        <v>5</v>
      </c>
    </row>
    <row r="302" spans="1:16">
      <c r="A302" s="10" t="str">
        <f t="shared" ca="1" si="12"/>
        <v/>
      </c>
      <c r="B302" s="65" t="s">
        <v>286</v>
      </c>
      <c r="C302" s="350" t="s">
        <v>828</v>
      </c>
      <c r="D302" s="10" t="s">
        <v>47</v>
      </c>
      <c r="E302" s="353" t="s">
        <v>504</v>
      </c>
      <c r="F302" s="352">
        <v>1</v>
      </c>
      <c r="G302" s="17">
        <f t="shared" si="13"/>
        <v>407.16847046752014</v>
      </c>
      <c r="H302" s="17">
        <f t="shared" si="14"/>
        <v>0</v>
      </c>
      <c r="I302" s="17">
        <v>407.16847046752014</v>
      </c>
      <c r="J302" s="17">
        <v>0</v>
      </c>
      <c r="K302" s="17">
        <v>1357.2282348917338</v>
      </c>
      <c r="L302" s="17">
        <v>0</v>
      </c>
      <c r="M302" s="346">
        <v>0.3</v>
      </c>
      <c r="N302" s="17">
        <v>2</v>
      </c>
      <c r="O302" s="346">
        <v>0</v>
      </c>
      <c r="P302" s="17">
        <v>5</v>
      </c>
    </row>
    <row r="303" spans="1:16">
      <c r="A303" s="10">
        <f t="shared" ca="1" si="12"/>
        <v>303</v>
      </c>
      <c r="B303" s="65" t="s">
        <v>290</v>
      </c>
      <c r="C303" s="350" t="s">
        <v>2053</v>
      </c>
      <c r="D303" s="10" t="s">
        <v>47</v>
      </c>
      <c r="E303" s="353" t="s">
        <v>535</v>
      </c>
      <c r="F303" s="352">
        <v>1</v>
      </c>
      <c r="G303" s="17">
        <f t="shared" si="13"/>
        <v>13.390849744011675</v>
      </c>
      <c r="H303" s="17">
        <f t="shared" si="14"/>
        <v>0</v>
      </c>
      <c r="I303" s="17">
        <v>13.390849744011675</v>
      </c>
      <c r="J303" s="17">
        <v>0</v>
      </c>
      <c r="K303" s="17">
        <v>44.636165813372251</v>
      </c>
      <c r="L303" s="17">
        <v>0</v>
      </c>
      <c r="M303" s="346">
        <v>0.3</v>
      </c>
      <c r="N303" s="17">
        <v>2</v>
      </c>
      <c r="O303" s="346">
        <v>0</v>
      </c>
      <c r="P303" s="17">
        <v>5</v>
      </c>
    </row>
    <row r="304" spans="1:16">
      <c r="A304" s="10">
        <f t="shared" ca="1" si="12"/>
        <v>306</v>
      </c>
      <c r="B304" s="65" t="s">
        <v>291</v>
      </c>
      <c r="C304" s="350" t="s">
        <v>2054</v>
      </c>
      <c r="D304" s="10" t="s">
        <v>47</v>
      </c>
      <c r="E304" s="353" t="s">
        <v>535</v>
      </c>
      <c r="F304" s="352">
        <v>1</v>
      </c>
      <c r="G304" s="17">
        <f t="shared" si="13"/>
        <v>39.379561025225129</v>
      </c>
      <c r="H304" s="17">
        <f t="shared" si="14"/>
        <v>0</v>
      </c>
      <c r="I304" s="17">
        <v>39.379561025225129</v>
      </c>
      <c r="J304" s="17">
        <v>0</v>
      </c>
      <c r="K304" s="17">
        <v>131.2652034174171</v>
      </c>
      <c r="L304" s="17">
        <v>0</v>
      </c>
      <c r="M304" s="346">
        <v>0.3</v>
      </c>
      <c r="N304" s="17">
        <v>2</v>
      </c>
      <c r="O304" s="346">
        <v>0</v>
      </c>
      <c r="P304" s="17">
        <v>5</v>
      </c>
    </row>
    <row r="305" spans="1:16">
      <c r="A305" s="10" t="str">
        <f t="shared" ca="1" si="12"/>
        <v/>
      </c>
      <c r="B305" s="65" t="s">
        <v>291</v>
      </c>
      <c r="C305" s="350" t="s">
        <v>829</v>
      </c>
      <c r="D305" s="10" t="s">
        <v>47</v>
      </c>
      <c r="E305" s="353" t="s">
        <v>501</v>
      </c>
      <c r="F305" s="352">
        <v>2</v>
      </c>
      <c r="G305" s="17">
        <f t="shared" si="13"/>
        <v>17.720802461351305</v>
      </c>
      <c r="H305" s="17">
        <f t="shared" si="14"/>
        <v>0</v>
      </c>
      <c r="I305" s="17">
        <v>17.720802461351305</v>
      </c>
      <c r="J305" s="17">
        <v>0</v>
      </c>
      <c r="K305" s="17">
        <v>196.89780512612563</v>
      </c>
      <c r="L305" s="17">
        <v>0</v>
      </c>
      <c r="M305" s="346">
        <v>0.3</v>
      </c>
      <c r="N305" s="17">
        <v>2</v>
      </c>
      <c r="O305" s="346">
        <v>0</v>
      </c>
      <c r="P305" s="17">
        <v>5</v>
      </c>
    </row>
    <row r="306" spans="1:16">
      <c r="A306" s="10" t="str">
        <f t="shared" ca="1" si="12"/>
        <v/>
      </c>
      <c r="B306" s="65" t="s">
        <v>291</v>
      </c>
      <c r="C306" s="350" t="s">
        <v>830</v>
      </c>
      <c r="D306" s="10" t="s">
        <v>47</v>
      </c>
      <c r="E306" s="353" t="s">
        <v>502</v>
      </c>
      <c r="F306" s="352">
        <v>2</v>
      </c>
      <c r="G306" s="17">
        <f t="shared" si="13"/>
        <v>53.162407384053914</v>
      </c>
      <c r="H306" s="17">
        <f t="shared" si="14"/>
        <v>0</v>
      </c>
      <c r="I306" s="17">
        <v>53.162407384053914</v>
      </c>
      <c r="J306" s="17">
        <v>0</v>
      </c>
      <c r="K306" s="17">
        <v>590.69341537837693</v>
      </c>
      <c r="L306" s="17">
        <v>0</v>
      </c>
      <c r="M306" s="346">
        <v>0.3</v>
      </c>
      <c r="N306" s="17">
        <v>2</v>
      </c>
      <c r="O306" s="346">
        <v>0</v>
      </c>
      <c r="P306" s="17">
        <v>5</v>
      </c>
    </row>
    <row r="307" spans="1:16">
      <c r="A307" s="10">
        <f t="shared" ca="1" si="12"/>
        <v>308</v>
      </c>
      <c r="B307" s="65" t="s">
        <v>1936</v>
      </c>
      <c r="C307" s="350" t="s">
        <v>2055</v>
      </c>
      <c r="D307" s="10" t="s">
        <v>47</v>
      </c>
      <c r="E307" s="353" t="s">
        <v>2056</v>
      </c>
      <c r="F307" s="352">
        <v>1</v>
      </c>
      <c r="G307" s="17">
        <f t="shared" si="13"/>
        <v>25.363209108111004</v>
      </c>
      <c r="H307" s="17">
        <f t="shared" si="14"/>
        <v>0</v>
      </c>
      <c r="I307" s="17">
        <v>25.363209108111004</v>
      </c>
      <c r="J307" s="17">
        <v>0</v>
      </c>
      <c r="K307" s="17">
        <v>84.544030360370016</v>
      </c>
      <c r="L307" s="17">
        <v>0</v>
      </c>
      <c r="M307" s="346">
        <v>0.3</v>
      </c>
      <c r="N307" s="17">
        <v>2</v>
      </c>
      <c r="O307" s="346">
        <v>0</v>
      </c>
      <c r="P307" s="17">
        <v>5</v>
      </c>
    </row>
    <row r="308" spans="1:16">
      <c r="A308" s="10" t="str">
        <f t="shared" ca="1" si="12"/>
        <v/>
      </c>
      <c r="B308" s="65" t="s">
        <v>1936</v>
      </c>
      <c r="C308" s="350" t="s">
        <v>2057</v>
      </c>
      <c r="D308" s="10" t="s">
        <v>47</v>
      </c>
      <c r="E308" s="353" t="s">
        <v>507</v>
      </c>
      <c r="F308" s="352">
        <v>1</v>
      </c>
      <c r="G308" s="17">
        <f t="shared" si="13"/>
        <v>50.726418216222008</v>
      </c>
      <c r="H308" s="17">
        <f t="shared" si="14"/>
        <v>0</v>
      </c>
      <c r="I308" s="17">
        <v>50.726418216222008</v>
      </c>
      <c r="J308" s="17">
        <v>0</v>
      </c>
      <c r="K308" s="17">
        <v>169.08806072074003</v>
      </c>
      <c r="L308" s="17">
        <v>0</v>
      </c>
      <c r="M308" s="346">
        <v>0.3</v>
      </c>
      <c r="N308" s="17">
        <v>2</v>
      </c>
      <c r="O308" s="346">
        <v>0</v>
      </c>
      <c r="P308" s="17">
        <v>5</v>
      </c>
    </row>
    <row r="309" spans="1:16">
      <c r="A309" s="10">
        <f t="shared" ca="1" si="12"/>
        <v>310</v>
      </c>
      <c r="B309" s="65" t="s">
        <v>292</v>
      </c>
      <c r="C309" s="350" t="s">
        <v>831</v>
      </c>
      <c r="D309" s="10" t="s">
        <v>47</v>
      </c>
      <c r="E309" s="353" t="s">
        <v>501</v>
      </c>
      <c r="F309" s="352">
        <v>2</v>
      </c>
      <c r="G309" s="17">
        <f t="shared" si="13"/>
        <v>6.3685170589516789</v>
      </c>
      <c r="H309" s="17">
        <f t="shared" si="14"/>
        <v>0</v>
      </c>
      <c r="I309" s="17">
        <v>6.3685170589516789</v>
      </c>
      <c r="J309" s="17">
        <v>0</v>
      </c>
      <c r="K309" s="17">
        <v>70.761300655018658</v>
      </c>
      <c r="L309" s="17">
        <v>0</v>
      </c>
      <c r="M309" s="346">
        <v>0.3</v>
      </c>
      <c r="N309" s="17">
        <v>2</v>
      </c>
      <c r="O309" s="346">
        <v>0</v>
      </c>
      <c r="P309" s="17">
        <v>5</v>
      </c>
    </row>
    <row r="310" spans="1:16">
      <c r="A310" s="10" t="str">
        <f t="shared" ca="1" si="12"/>
        <v/>
      </c>
      <c r="B310" s="65" t="s">
        <v>292</v>
      </c>
      <c r="C310" s="350" t="s">
        <v>832</v>
      </c>
      <c r="D310" s="10" t="s">
        <v>47</v>
      </c>
      <c r="E310" s="353" t="s">
        <v>502</v>
      </c>
      <c r="F310" s="352">
        <v>2</v>
      </c>
      <c r="G310" s="17">
        <f t="shared" si="13"/>
        <v>16.982712157204482</v>
      </c>
      <c r="H310" s="17">
        <f t="shared" si="14"/>
        <v>0</v>
      </c>
      <c r="I310" s="17">
        <v>16.982712157204482</v>
      </c>
      <c r="J310" s="17">
        <v>0</v>
      </c>
      <c r="K310" s="17">
        <v>188.69680174671646</v>
      </c>
      <c r="L310" s="17">
        <v>0</v>
      </c>
      <c r="M310" s="346">
        <v>0.3</v>
      </c>
      <c r="N310" s="17">
        <v>2</v>
      </c>
      <c r="O310" s="346">
        <v>0</v>
      </c>
      <c r="P310" s="17">
        <v>5</v>
      </c>
    </row>
    <row r="311" spans="1:16">
      <c r="A311" s="10">
        <f t="shared" ca="1" si="12"/>
        <v>311</v>
      </c>
      <c r="B311" s="65" t="s">
        <v>289</v>
      </c>
      <c r="C311" s="350" t="s">
        <v>833</v>
      </c>
      <c r="D311" s="10" t="s">
        <v>47</v>
      </c>
      <c r="E311" s="353" t="s">
        <v>496</v>
      </c>
      <c r="F311" s="352">
        <v>1</v>
      </c>
      <c r="G311" s="17">
        <f t="shared" si="13"/>
        <v>512.1729379678959</v>
      </c>
      <c r="H311" s="17">
        <f t="shared" si="14"/>
        <v>0</v>
      </c>
      <c r="I311" s="17">
        <v>512.1729379678959</v>
      </c>
      <c r="J311" s="17">
        <v>0</v>
      </c>
      <c r="K311" s="17">
        <v>1707.2431265596531</v>
      </c>
      <c r="L311" s="17">
        <v>0</v>
      </c>
      <c r="M311" s="346">
        <v>0.3</v>
      </c>
      <c r="N311" s="17">
        <v>2</v>
      </c>
      <c r="O311" s="346">
        <v>0</v>
      </c>
      <c r="P311" s="17">
        <v>5</v>
      </c>
    </row>
    <row r="312" spans="1:16">
      <c r="A312" s="10">
        <f t="shared" ca="1" si="12"/>
        <v>341</v>
      </c>
      <c r="B312" s="65" t="s">
        <v>197</v>
      </c>
      <c r="C312" s="350" t="s">
        <v>2058</v>
      </c>
      <c r="D312" s="10" t="s">
        <v>47</v>
      </c>
      <c r="E312" s="353" t="s">
        <v>2059</v>
      </c>
      <c r="F312" s="352">
        <v>1</v>
      </c>
      <c r="G312" s="17">
        <f t="shared" si="13"/>
        <v>1402.3007543978867</v>
      </c>
      <c r="H312" s="17">
        <f t="shared" si="14"/>
        <v>0</v>
      </c>
      <c r="I312" s="17">
        <v>1402.3007543978867</v>
      </c>
      <c r="J312" s="17">
        <v>0</v>
      </c>
      <c r="K312" s="17">
        <v>4674.3358479929557</v>
      </c>
      <c r="L312" s="17">
        <v>0</v>
      </c>
      <c r="M312" s="346">
        <v>0.3</v>
      </c>
      <c r="N312" s="17">
        <v>2</v>
      </c>
      <c r="O312" s="346">
        <v>0</v>
      </c>
      <c r="P312" s="17">
        <v>5</v>
      </c>
    </row>
    <row r="313" spans="1:16">
      <c r="A313" s="10" t="str">
        <f t="shared" ca="1" si="12"/>
        <v/>
      </c>
      <c r="B313" s="65" t="s">
        <v>197</v>
      </c>
      <c r="C313" s="350" t="s">
        <v>834</v>
      </c>
      <c r="D313" s="10" t="s">
        <v>47</v>
      </c>
      <c r="E313" s="353" t="s">
        <v>508</v>
      </c>
      <c r="F313" s="352">
        <v>1</v>
      </c>
      <c r="G313" s="17">
        <f t="shared" si="13"/>
        <v>1402.3007543978867</v>
      </c>
      <c r="H313" s="17">
        <f t="shared" si="14"/>
        <v>0</v>
      </c>
      <c r="I313" s="17">
        <v>1402.3007543978867</v>
      </c>
      <c r="J313" s="17">
        <v>0</v>
      </c>
      <c r="K313" s="17">
        <v>4674.3358479929557</v>
      </c>
      <c r="L313" s="17">
        <v>0</v>
      </c>
      <c r="M313" s="346">
        <v>0.3</v>
      </c>
      <c r="N313" s="17">
        <v>2</v>
      </c>
      <c r="O313" s="346">
        <v>0</v>
      </c>
      <c r="P313" s="17">
        <v>5</v>
      </c>
    </row>
    <row r="314" spans="1:16">
      <c r="A314" s="10" t="str">
        <f t="shared" ca="1" si="12"/>
        <v/>
      </c>
      <c r="B314" s="65" t="s">
        <v>197</v>
      </c>
      <c r="C314" s="350" t="s">
        <v>2060</v>
      </c>
      <c r="D314" s="10" t="s">
        <v>47</v>
      </c>
      <c r="E314" s="353" t="s">
        <v>530</v>
      </c>
      <c r="F314" s="352">
        <v>1</v>
      </c>
      <c r="G314" s="17">
        <f t="shared" si="13"/>
        <v>1402.3007543978867</v>
      </c>
      <c r="H314" s="17">
        <f t="shared" si="14"/>
        <v>0</v>
      </c>
      <c r="I314" s="17">
        <v>1402.3007543978867</v>
      </c>
      <c r="J314" s="17">
        <v>0</v>
      </c>
      <c r="K314" s="17">
        <v>4674.3358479929557</v>
      </c>
      <c r="L314" s="17">
        <v>0</v>
      </c>
      <c r="M314" s="346">
        <v>0.3</v>
      </c>
      <c r="N314" s="17">
        <v>2</v>
      </c>
      <c r="O314" s="346">
        <v>0</v>
      </c>
      <c r="P314" s="17">
        <v>5</v>
      </c>
    </row>
    <row r="315" spans="1:16">
      <c r="A315" s="10" t="str">
        <f t="shared" ca="1" si="12"/>
        <v/>
      </c>
      <c r="B315" s="65" t="s">
        <v>197</v>
      </c>
      <c r="C315" s="350" t="s">
        <v>2061</v>
      </c>
      <c r="D315" s="10" t="s">
        <v>47</v>
      </c>
      <c r="E315" s="353" t="s">
        <v>541</v>
      </c>
      <c r="F315" s="352">
        <v>1</v>
      </c>
      <c r="G315" s="17">
        <f t="shared" si="13"/>
        <v>1402.3007543978867</v>
      </c>
      <c r="H315" s="17">
        <f t="shared" si="14"/>
        <v>0</v>
      </c>
      <c r="I315" s="17">
        <v>1402.3007543978867</v>
      </c>
      <c r="J315" s="17">
        <v>0</v>
      </c>
      <c r="K315" s="17">
        <v>4674.3358479929557</v>
      </c>
      <c r="L315" s="17">
        <v>0</v>
      </c>
      <c r="M315" s="346">
        <v>0.3</v>
      </c>
      <c r="N315" s="17">
        <v>2</v>
      </c>
      <c r="O315" s="346">
        <v>0</v>
      </c>
      <c r="P315" s="17">
        <v>5</v>
      </c>
    </row>
    <row r="316" spans="1:16">
      <c r="A316" s="10" t="str">
        <f t="shared" ca="1" si="12"/>
        <v/>
      </c>
      <c r="B316" s="65" t="s">
        <v>197</v>
      </c>
      <c r="C316" s="350" t="s">
        <v>835</v>
      </c>
      <c r="D316" s="10" t="s">
        <v>47</v>
      </c>
      <c r="E316" s="353" t="s">
        <v>499</v>
      </c>
      <c r="F316" s="352">
        <v>1</v>
      </c>
      <c r="G316" s="17">
        <f t="shared" si="13"/>
        <v>1402.3007543978867</v>
      </c>
      <c r="H316" s="17">
        <f t="shared" si="14"/>
        <v>0</v>
      </c>
      <c r="I316" s="17">
        <v>1402.3007543978867</v>
      </c>
      <c r="J316" s="17">
        <v>0</v>
      </c>
      <c r="K316" s="17">
        <v>4674.3358479929557</v>
      </c>
      <c r="L316" s="17">
        <v>0</v>
      </c>
      <c r="M316" s="346">
        <v>0.3</v>
      </c>
      <c r="N316" s="17">
        <v>2</v>
      </c>
      <c r="O316" s="346">
        <v>0</v>
      </c>
      <c r="P316" s="17">
        <v>5</v>
      </c>
    </row>
    <row r="317" spans="1:16">
      <c r="A317" s="10" t="str">
        <f t="shared" ca="1" si="12"/>
        <v/>
      </c>
      <c r="B317" s="65" t="s">
        <v>197</v>
      </c>
      <c r="C317" s="350" t="s">
        <v>2252</v>
      </c>
      <c r="D317" s="10" t="s">
        <v>47</v>
      </c>
      <c r="E317" s="353" t="s">
        <v>2249</v>
      </c>
      <c r="F317" s="352">
        <v>2</v>
      </c>
      <c r="G317" s="17">
        <f t="shared" si="13"/>
        <v>4206.9022631936605</v>
      </c>
      <c r="H317" s="17">
        <f t="shared" si="14"/>
        <v>0</v>
      </c>
      <c r="I317" s="17">
        <v>4206.9022631936605</v>
      </c>
      <c r="J317" s="17">
        <v>0</v>
      </c>
      <c r="K317" s="17">
        <v>46743.358479929564</v>
      </c>
      <c r="L317" s="17">
        <v>0</v>
      </c>
      <c r="M317" s="346">
        <v>0.3</v>
      </c>
      <c r="N317" s="17">
        <v>2</v>
      </c>
      <c r="O317" s="346">
        <v>0</v>
      </c>
      <c r="P317" s="17">
        <v>5</v>
      </c>
    </row>
    <row r="318" spans="1:16">
      <c r="A318" s="10" t="str">
        <f t="shared" ca="1" si="12"/>
        <v/>
      </c>
      <c r="B318" s="65" t="s">
        <v>197</v>
      </c>
      <c r="C318" s="350" t="s">
        <v>836</v>
      </c>
      <c r="D318" s="10" t="s">
        <v>47</v>
      </c>
      <c r="E318" s="353" t="s">
        <v>555</v>
      </c>
      <c r="F318" s="352">
        <v>1</v>
      </c>
      <c r="G318" s="17">
        <f t="shared" si="13"/>
        <v>1402.3007543978867</v>
      </c>
      <c r="H318" s="17">
        <f t="shared" si="14"/>
        <v>0</v>
      </c>
      <c r="I318" s="17">
        <v>1402.3007543978867</v>
      </c>
      <c r="J318" s="17">
        <v>0</v>
      </c>
      <c r="K318" s="17">
        <v>4674.3358479929557</v>
      </c>
      <c r="L318" s="17">
        <v>0</v>
      </c>
      <c r="M318" s="346">
        <v>0.3</v>
      </c>
      <c r="N318" s="17">
        <v>2</v>
      </c>
      <c r="O318" s="346">
        <v>0</v>
      </c>
      <c r="P318" s="17">
        <v>5</v>
      </c>
    </row>
    <row r="319" spans="1:16">
      <c r="A319" s="10" t="str">
        <f t="shared" ca="1" si="12"/>
        <v/>
      </c>
      <c r="B319" s="65" t="s">
        <v>197</v>
      </c>
      <c r="C319" s="350" t="s">
        <v>837</v>
      </c>
      <c r="D319" s="10" t="s">
        <v>47</v>
      </c>
      <c r="E319" s="353" t="s">
        <v>556</v>
      </c>
      <c r="F319" s="352">
        <v>2</v>
      </c>
      <c r="G319" s="17">
        <f t="shared" si="13"/>
        <v>420.69022631936599</v>
      </c>
      <c r="H319" s="17">
        <f t="shared" si="14"/>
        <v>0</v>
      </c>
      <c r="I319" s="17">
        <v>420.69022631936599</v>
      </c>
      <c r="J319" s="17">
        <v>0</v>
      </c>
      <c r="K319" s="17">
        <v>4674.3358479929557</v>
      </c>
      <c r="L319" s="17">
        <v>0</v>
      </c>
      <c r="M319" s="346">
        <v>0.3</v>
      </c>
      <c r="N319" s="17">
        <v>2</v>
      </c>
      <c r="O319" s="346">
        <v>0</v>
      </c>
      <c r="P319" s="17">
        <v>5</v>
      </c>
    </row>
    <row r="320" spans="1:16">
      <c r="A320" s="10" t="str">
        <f t="shared" ca="1" si="12"/>
        <v/>
      </c>
      <c r="B320" s="65" t="s">
        <v>197</v>
      </c>
      <c r="C320" s="350" t="s">
        <v>2062</v>
      </c>
      <c r="D320" s="10" t="s">
        <v>47</v>
      </c>
      <c r="E320" s="353" t="s">
        <v>2253</v>
      </c>
      <c r="F320" s="352">
        <v>1</v>
      </c>
      <c r="G320" s="17">
        <f t="shared" si="13"/>
        <v>42069.022631936597</v>
      </c>
      <c r="H320" s="17">
        <f t="shared" si="14"/>
        <v>0</v>
      </c>
      <c r="I320" s="17">
        <v>42069.022631936597</v>
      </c>
      <c r="J320" s="17">
        <v>0</v>
      </c>
      <c r="K320" s="17">
        <v>140230.07543978866</v>
      </c>
      <c r="L320" s="17">
        <v>0</v>
      </c>
      <c r="M320" s="346">
        <v>0.3</v>
      </c>
      <c r="N320" s="17">
        <v>2</v>
      </c>
      <c r="O320" s="346">
        <v>0</v>
      </c>
      <c r="P320" s="17">
        <v>5</v>
      </c>
    </row>
    <row r="321" spans="1:16">
      <c r="A321" s="10" t="str">
        <f t="shared" ca="1" si="12"/>
        <v/>
      </c>
      <c r="B321" s="65" t="s">
        <v>197</v>
      </c>
      <c r="C321" s="350" t="s">
        <v>838</v>
      </c>
      <c r="D321" s="10" t="s">
        <v>47</v>
      </c>
      <c r="E321" s="353" t="s">
        <v>535</v>
      </c>
      <c r="F321" s="352">
        <v>1</v>
      </c>
      <c r="G321" s="17">
        <f t="shared" si="13"/>
        <v>1402.3007543978867</v>
      </c>
      <c r="H321" s="17">
        <f t="shared" si="14"/>
        <v>0</v>
      </c>
      <c r="I321" s="17">
        <v>1402.3007543978867</v>
      </c>
      <c r="J321" s="17">
        <v>0</v>
      </c>
      <c r="K321" s="17">
        <v>4674.3358479929557</v>
      </c>
      <c r="L321" s="17">
        <v>0</v>
      </c>
      <c r="M321" s="346">
        <v>0.3</v>
      </c>
      <c r="N321" s="17">
        <v>2</v>
      </c>
      <c r="O321" s="346">
        <v>0</v>
      </c>
      <c r="P321" s="17">
        <v>5</v>
      </c>
    </row>
    <row r="322" spans="1:16">
      <c r="A322" s="10" t="str">
        <f t="shared" ref="A322:A385" ca="1" si="15">IF(B321=B322,"",ROW(A322)-1+MATCH(B322,INDIRECT("B"&amp;ROW(A322)&amp;":"&amp;"B"&amp;$A$1),1))</f>
        <v/>
      </c>
      <c r="B322" s="65" t="s">
        <v>197</v>
      </c>
      <c r="C322" s="350" t="s">
        <v>839</v>
      </c>
      <c r="D322" s="10" t="s">
        <v>47</v>
      </c>
      <c r="E322" s="353" t="s">
        <v>496</v>
      </c>
      <c r="F322" s="352">
        <v>1</v>
      </c>
      <c r="G322" s="17">
        <f t="shared" ref="G322:G385" si="16">IF($R$2=1,K322,I322)</f>
        <v>1402.3007543978867</v>
      </c>
      <c r="H322" s="17">
        <f t="shared" ref="H322:H385" si="17">IF($R$2=1,L322,J322)</f>
        <v>0</v>
      </c>
      <c r="I322" s="17">
        <v>1402.3007543978867</v>
      </c>
      <c r="J322" s="17">
        <v>0</v>
      </c>
      <c r="K322" s="17">
        <v>4674.3358479929557</v>
      </c>
      <c r="L322" s="17">
        <v>0</v>
      </c>
      <c r="M322" s="346">
        <v>0.3</v>
      </c>
      <c r="N322" s="17">
        <v>2</v>
      </c>
      <c r="O322" s="346">
        <v>0</v>
      </c>
      <c r="P322" s="17">
        <v>5</v>
      </c>
    </row>
    <row r="323" spans="1:16">
      <c r="A323" s="10" t="str">
        <f t="shared" ca="1" si="15"/>
        <v/>
      </c>
      <c r="B323" s="65" t="s">
        <v>197</v>
      </c>
      <c r="C323" s="350" t="s">
        <v>840</v>
      </c>
      <c r="D323" s="10" t="s">
        <v>47</v>
      </c>
      <c r="E323" s="353" t="s">
        <v>558</v>
      </c>
      <c r="F323" s="352">
        <v>2</v>
      </c>
      <c r="G323" s="17">
        <f t="shared" si="16"/>
        <v>420.69022631936599</v>
      </c>
      <c r="H323" s="17">
        <f t="shared" si="17"/>
        <v>0</v>
      </c>
      <c r="I323" s="17">
        <v>420.69022631936599</v>
      </c>
      <c r="J323" s="17">
        <v>0</v>
      </c>
      <c r="K323" s="17">
        <v>4674.3358479929557</v>
      </c>
      <c r="L323" s="17">
        <v>0</v>
      </c>
      <c r="M323" s="346">
        <v>0.3</v>
      </c>
      <c r="N323" s="17">
        <v>2</v>
      </c>
      <c r="O323" s="346">
        <v>0</v>
      </c>
      <c r="P323" s="17">
        <v>5</v>
      </c>
    </row>
    <row r="324" spans="1:16">
      <c r="A324" s="10" t="str">
        <f t="shared" ca="1" si="15"/>
        <v/>
      </c>
      <c r="B324" s="65" t="s">
        <v>197</v>
      </c>
      <c r="C324" s="350" t="s">
        <v>841</v>
      </c>
      <c r="D324" s="10" t="s">
        <v>47</v>
      </c>
      <c r="E324" s="353" t="s">
        <v>559</v>
      </c>
      <c r="F324" s="352">
        <v>2</v>
      </c>
      <c r="G324" s="17">
        <f t="shared" si="16"/>
        <v>420.69022631936599</v>
      </c>
      <c r="H324" s="17">
        <f t="shared" si="17"/>
        <v>0</v>
      </c>
      <c r="I324" s="17">
        <v>420.69022631936599</v>
      </c>
      <c r="J324" s="17">
        <v>0</v>
      </c>
      <c r="K324" s="17">
        <v>4674.3358479929557</v>
      </c>
      <c r="L324" s="17">
        <v>0</v>
      </c>
      <c r="M324" s="346">
        <v>0.3</v>
      </c>
      <c r="N324" s="17">
        <v>2</v>
      </c>
      <c r="O324" s="346">
        <v>0</v>
      </c>
      <c r="P324" s="17">
        <v>5</v>
      </c>
    </row>
    <row r="325" spans="1:16">
      <c r="A325" s="10" t="str">
        <f t="shared" ca="1" si="15"/>
        <v/>
      </c>
      <c r="B325" s="65" t="s">
        <v>197</v>
      </c>
      <c r="C325" s="350" t="s">
        <v>2063</v>
      </c>
      <c r="D325" s="10" t="s">
        <v>47</v>
      </c>
      <c r="E325" s="353" t="s">
        <v>1976</v>
      </c>
      <c r="F325" s="352">
        <v>2</v>
      </c>
      <c r="G325" s="17">
        <f t="shared" si="16"/>
        <v>420.69022631936599</v>
      </c>
      <c r="H325" s="17">
        <f t="shared" si="17"/>
        <v>0</v>
      </c>
      <c r="I325" s="17">
        <v>420.69022631936599</v>
      </c>
      <c r="J325" s="17">
        <v>0</v>
      </c>
      <c r="K325" s="17">
        <v>4674.3358479929557</v>
      </c>
      <c r="L325" s="17">
        <v>0</v>
      </c>
      <c r="M325" s="346">
        <v>0.3</v>
      </c>
      <c r="N325" s="17">
        <v>2</v>
      </c>
      <c r="O325" s="346">
        <v>0</v>
      </c>
      <c r="P325" s="17">
        <v>5</v>
      </c>
    </row>
    <row r="326" spans="1:16">
      <c r="A326" s="10" t="str">
        <f t="shared" ca="1" si="15"/>
        <v/>
      </c>
      <c r="B326" s="65" t="s">
        <v>197</v>
      </c>
      <c r="C326" s="350" t="s">
        <v>842</v>
      </c>
      <c r="D326" s="10" t="s">
        <v>47</v>
      </c>
      <c r="E326" s="353" t="s">
        <v>537</v>
      </c>
      <c r="F326" s="352">
        <v>2</v>
      </c>
      <c r="G326" s="17">
        <f t="shared" si="16"/>
        <v>420.69022631936599</v>
      </c>
      <c r="H326" s="17">
        <f t="shared" si="17"/>
        <v>0</v>
      </c>
      <c r="I326" s="17">
        <v>420.69022631936599</v>
      </c>
      <c r="J326" s="17">
        <v>0</v>
      </c>
      <c r="K326" s="17">
        <v>4674.3358479929557</v>
      </c>
      <c r="L326" s="17">
        <v>0</v>
      </c>
      <c r="M326" s="346">
        <v>0.3</v>
      </c>
      <c r="N326" s="17">
        <v>2</v>
      </c>
      <c r="O326" s="346">
        <v>0</v>
      </c>
      <c r="P326" s="17">
        <v>5</v>
      </c>
    </row>
    <row r="327" spans="1:16">
      <c r="A327" s="10" t="str">
        <f t="shared" ca="1" si="15"/>
        <v/>
      </c>
      <c r="B327" s="65" t="s">
        <v>197</v>
      </c>
      <c r="C327" s="350" t="s">
        <v>843</v>
      </c>
      <c r="D327" s="10" t="s">
        <v>47</v>
      </c>
      <c r="E327" s="353" t="s">
        <v>560</v>
      </c>
      <c r="F327" s="352">
        <v>2</v>
      </c>
      <c r="G327" s="17">
        <f t="shared" si="16"/>
        <v>420.69022631936599</v>
      </c>
      <c r="H327" s="17">
        <f t="shared" si="17"/>
        <v>0</v>
      </c>
      <c r="I327" s="17">
        <v>420.69022631936599</v>
      </c>
      <c r="J327" s="17">
        <v>0</v>
      </c>
      <c r="K327" s="17">
        <v>4674.3358479929557</v>
      </c>
      <c r="L327" s="17">
        <v>0</v>
      </c>
      <c r="M327" s="346">
        <v>0.3</v>
      </c>
      <c r="N327" s="17">
        <v>2</v>
      </c>
      <c r="O327" s="346">
        <v>0</v>
      </c>
      <c r="P327" s="17">
        <v>5</v>
      </c>
    </row>
    <row r="328" spans="1:16">
      <c r="A328" s="10" t="str">
        <f t="shared" ca="1" si="15"/>
        <v/>
      </c>
      <c r="B328" s="65" t="s">
        <v>197</v>
      </c>
      <c r="C328" s="350" t="s">
        <v>844</v>
      </c>
      <c r="D328" s="10" t="s">
        <v>47</v>
      </c>
      <c r="E328" s="353" t="s">
        <v>501</v>
      </c>
      <c r="F328" s="352">
        <v>2</v>
      </c>
      <c r="G328" s="17">
        <f t="shared" si="16"/>
        <v>420.69022631936599</v>
      </c>
      <c r="H328" s="17">
        <f t="shared" si="17"/>
        <v>0</v>
      </c>
      <c r="I328" s="17">
        <v>420.69022631936599</v>
      </c>
      <c r="J328" s="17">
        <v>0</v>
      </c>
      <c r="K328" s="17">
        <v>4674.3358479929557</v>
      </c>
      <c r="L328" s="17">
        <v>0</v>
      </c>
      <c r="M328" s="346">
        <v>0.3</v>
      </c>
      <c r="N328" s="17">
        <v>2</v>
      </c>
      <c r="O328" s="346">
        <v>0</v>
      </c>
      <c r="P328" s="17">
        <v>5</v>
      </c>
    </row>
    <row r="329" spans="1:16">
      <c r="A329" s="10" t="str">
        <f t="shared" ca="1" si="15"/>
        <v/>
      </c>
      <c r="B329" s="65" t="s">
        <v>197</v>
      </c>
      <c r="C329" s="350" t="s">
        <v>845</v>
      </c>
      <c r="D329" s="10" t="s">
        <v>47</v>
      </c>
      <c r="E329" s="353" t="s">
        <v>515</v>
      </c>
      <c r="F329" s="352">
        <v>2</v>
      </c>
      <c r="G329" s="17">
        <f t="shared" si="16"/>
        <v>420.69022631936599</v>
      </c>
      <c r="H329" s="17">
        <f t="shared" si="17"/>
        <v>0</v>
      </c>
      <c r="I329" s="17">
        <v>420.69022631936599</v>
      </c>
      <c r="J329" s="17">
        <v>0</v>
      </c>
      <c r="K329" s="17">
        <v>4674.3358479929557</v>
      </c>
      <c r="L329" s="17">
        <v>0</v>
      </c>
      <c r="M329" s="346">
        <v>0.3</v>
      </c>
      <c r="N329" s="17">
        <v>2</v>
      </c>
      <c r="O329" s="346">
        <v>0</v>
      </c>
      <c r="P329" s="17">
        <v>5</v>
      </c>
    </row>
    <row r="330" spans="1:16">
      <c r="A330" s="10" t="str">
        <f t="shared" ca="1" si="15"/>
        <v/>
      </c>
      <c r="B330" s="65" t="s">
        <v>197</v>
      </c>
      <c r="C330" s="350" t="s">
        <v>846</v>
      </c>
      <c r="D330" s="10" t="s">
        <v>47</v>
      </c>
      <c r="E330" s="353" t="s">
        <v>494</v>
      </c>
      <c r="F330" s="352">
        <v>1</v>
      </c>
      <c r="G330" s="17">
        <f t="shared" si="16"/>
        <v>1402.3007543978867</v>
      </c>
      <c r="H330" s="17">
        <f t="shared" si="17"/>
        <v>0</v>
      </c>
      <c r="I330" s="17">
        <v>1402.3007543978867</v>
      </c>
      <c r="J330" s="17">
        <v>0</v>
      </c>
      <c r="K330" s="17">
        <v>4674.3358479929557</v>
      </c>
      <c r="L330" s="17">
        <v>0</v>
      </c>
      <c r="M330" s="346">
        <v>0.3</v>
      </c>
      <c r="N330" s="17">
        <v>2</v>
      </c>
      <c r="O330" s="346">
        <v>0</v>
      </c>
      <c r="P330" s="17">
        <v>5</v>
      </c>
    </row>
    <row r="331" spans="1:16">
      <c r="A331" s="10" t="str">
        <f t="shared" ca="1" si="15"/>
        <v/>
      </c>
      <c r="B331" s="65" t="s">
        <v>197</v>
      </c>
      <c r="C331" s="350" t="s">
        <v>2064</v>
      </c>
      <c r="D331" s="10" t="s">
        <v>47</v>
      </c>
      <c r="E331" s="353" t="s">
        <v>2065</v>
      </c>
      <c r="F331" s="352">
        <v>8</v>
      </c>
      <c r="G331" s="17">
        <f t="shared" si="16"/>
        <v>1402.3007543978867</v>
      </c>
      <c r="H331" s="17">
        <f t="shared" si="17"/>
        <v>0</v>
      </c>
      <c r="I331" s="17">
        <v>1402.3007543978867</v>
      </c>
      <c r="J331" s="17">
        <v>0</v>
      </c>
      <c r="K331" s="17">
        <v>4674.3358479929557</v>
      </c>
      <c r="L331" s="17">
        <v>0</v>
      </c>
      <c r="M331" s="346">
        <v>0.3</v>
      </c>
      <c r="N331" s="17">
        <v>2</v>
      </c>
      <c r="O331" s="346">
        <v>0</v>
      </c>
      <c r="P331" s="17">
        <v>5</v>
      </c>
    </row>
    <row r="332" spans="1:16">
      <c r="A332" s="10" t="str">
        <f t="shared" ca="1" si="15"/>
        <v/>
      </c>
      <c r="B332" s="65" t="s">
        <v>197</v>
      </c>
      <c r="C332" s="350" t="s">
        <v>847</v>
      </c>
      <c r="D332" s="10" t="s">
        <v>47</v>
      </c>
      <c r="E332" s="353" t="s">
        <v>561</v>
      </c>
      <c r="F332" s="352">
        <v>1</v>
      </c>
      <c r="G332" s="17">
        <f t="shared" si="16"/>
        <v>1402.3007543978867</v>
      </c>
      <c r="H332" s="17">
        <f t="shared" si="17"/>
        <v>0</v>
      </c>
      <c r="I332" s="17">
        <v>1402.3007543978867</v>
      </c>
      <c r="J332" s="17">
        <v>0</v>
      </c>
      <c r="K332" s="17">
        <v>4674.3358479929557</v>
      </c>
      <c r="L332" s="17">
        <v>0</v>
      </c>
      <c r="M332" s="346">
        <v>0.3</v>
      </c>
      <c r="N332" s="17">
        <v>2</v>
      </c>
      <c r="O332" s="346">
        <v>0</v>
      </c>
      <c r="P332" s="17">
        <v>5</v>
      </c>
    </row>
    <row r="333" spans="1:16">
      <c r="A333" s="10" t="str">
        <f t="shared" ca="1" si="15"/>
        <v/>
      </c>
      <c r="B333" s="65" t="s">
        <v>197</v>
      </c>
      <c r="C333" s="350" t="s">
        <v>848</v>
      </c>
      <c r="D333" s="10" t="s">
        <v>47</v>
      </c>
      <c r="E333" s="353" t="s">
        <v>562</v>
      </c>
      <c r="F333" s="352">
        <v>2</v>
      </c>
      <c r="G333" s="17">
        <f t="shared" si="16"/>
        <v>420.69022631936599</v>
      </c>
      <c r="H333" s="17">
        <f t="shared" si="17"/>
        <v>0</v>
      </c>
      <c r="I333" s="17">
        <v>420.69022631936599</v>
      </c>
      <c r="J333" s="17">
        <v>0</v>
      </c>
      <c r="K333" s="17">
        <v>4674.3358479929557</v>
      </c>
      <c r="L333" s="17">
        <v>0</v>
      </c>
      <c r="M333" s="346">
        <v>0.3</v>
      </c>
      <c r="N333" s="17">
        <v>2</v>
      </c>
      <c r="O333" s="346">
        <v>0</v>
      </c>
      <c r="P333" s="17">
        <v>5</v>
      </c>
    </row>
    <row r="334" spans="1:16">
      <c r="A334" s="10" t="str">
        <f t="shared" ca="1" si="15"/>
        <v/>
      </c>
      <c r="B334" s="65" t="s">
        <v>197</v>
      </c>
      <c r="C334" s="350" t="s">
        <v>2066</v>
      </c>
      <c r="D334" s="10" t="s">
        <v>47</v>
      </c>
      <c r="E334" s="353" t="s">
        <v>510</v>
      </c>
      <c r="F334" s="352">
        <v>1</v>
      </c>
      <c r="G334" s="17">
        <f t="shared" si="16"/>
        <v>1402.3007543978867</v>
      </c>
      <c r="H334" s="17">
        <f t="shared" si="17"/>
        <v>0</v>
      </c>
      <c r="I334" s="17">
        <v>1402.3007543978867</v>
      </c>
      <c r="J334" s="17">
        <v>0</v>
      </c>
      <c r="K334" s="17">
        <v>4674.3358479929557</v>
      </c>
      <c r="L334" s="17">
        <v>0</v>
      </c>
      <c r="M334" s="346">
        <v>0.3</v>
      </c>
      <c r="N334" s="17">
        <v>2</v>
      </c>
      <c r="O334" s="346">
        <v>0</v>
      </c>
      <c r="P334" s="17">
        <v>5</v>
      </c>
    </row>
    <row r="335" spans="1:16">
      <c r="A335" s="10" t="str">
        <f t="shared" ca="1" si="15"/>
        <v/>
      </c>
      <c r="B335" s="65" t="s">
        <v>197</v>
      </c>
      <c r="C335" s="350" t="s">
        <v>849</v>
      </c>
      <c r="D335" s="10" t="s">
        <v>47</v>
      </c>
      <c r="E335" s="353" t="s">
        <v>563</v>
      </c>
      <c r="F335" s="352">
        <v>2</v>
      </c>
      <c r="G335" s="17">
        <f t="shared" si="16"/>
        <v>420.69022631936599</v>
      </c>
      <c r="H335" s="17">
        <f t="shared" si="17"/>
        <v>0</v>
      </c>
      <c r="I335" s="17">
        <v>420.69022631936599</v>
      </c>
      <c r="J335" s="17">
        <v>0</v>
      </c>
      <c r="K335" s="17">
        <v>4674.3358479929557</v>
      </c>
      <c r="L335" s="17">
        <v>0</v>
      </c>
      <c r="M335" s="346">
        <v>0.3</v>
      </c>
      <c r="N335" s="17">
        <v>2</v>
      </c>
      <c r="O335" s="346">
        <v>0</v>
      </c>
      <c r="P335" s="17">
        <v>5</v>
      </c>
    </row>
    <row r="336" spans="1:16">
      <c r="A336" s="10" t="str">
        <f t="shared" ca="1" si="15"/>
        <v/>
      </c>
      <c r="B336" s="65" t="s">
        <v>197</v>
      </c>
      <c r="C336" s="350" t="s">
        <v>850</v>
      </c>
      <c r="D336" s="10" t="s">
        <v>47</v>
      </c>
      <c r="E336" s="353" t="s">
        <v>502</v>
      </c>
      <c r="F336" s="352">
        <v>2</v>
      </c>
      <c r="G336" s="17">
        <f t="shared" si="16"/>
        <v>420.69022631936599</v>
      </c>
      <c r="H336" s="17">
        <f t="shared" si="17"/>
        <v>0</v>
      </c>
      <c r="I336" s="17">
        <v>420.69022631936599</v>
      </c>
      <c r="J336" s="17">
        <v>0</v>
      </c>
      <c r="K336" s="17">
        <v>4674.3358479929557</v>
      </c>
      <c r="L336" s="17">
        <v>0</v>
      </c>
      <c r="M336" s="346">
        <v>0.3</v>
      </c>
      <c r="N336" s="17">
        <v>2</v>
      </c>
      <c r="O336" s="346">
        <v>0</v>
      </c>
      <c r="P336" s="17">
        <v>5</v>
      </c>
    </row>
    <row r="337" spans="1:16">
      <c r="A337" s="10" t="str">
        <f t="shared" ca="1" si="15"/>
        <v/>
      </c>
      <c r="B337" s="65" t="s">
        <v>197</v>
      </c>
      <c r="C337" s="350" t="s">
        <v>851</v>
      </c>
      <c r="D337" s="10" t="s">
        <v>47</v>
      </c>
      <c r="E337" s="353" t="s">
        <v>564</v>
      </c>
      <c r="F337" s="352">
        <v>8</v>
      </c>
      <c r="G337" s="17">
        <f t="shared" si="16"/>
        <v>1402.3007543978867</v>
      </c>
      <c r="H337" s="17">
        <f t="shared" si="17"/>
        <v>0</v>
      </c>
      <c r="I337" s="17">
        <v>1402.3007543978867</v>
      </c>
      <c r="J337" s="17">
        <v>0</v>
      </c>
      <c r="K337" s="17">
        <v>4674.3358479929557</v>
      </c>
      <c r="L337" s="17">
        <v>0</v>
      </c>
      <c r="M337" s="346">
        <v>0.3</v>
      </c>
      <c r="N337" s="17">
        <v>2</v>
      </c>
      <c r="O337" s="346">
        <v>0</v>
      </c>
      <c r="P337" s="17">
        <v>5</v>
      </c>
    </row>
    <row r="338" spans="1:16">
      <c r="A338" s="10" t="str">
        <f t="shared" ca="1" si="15"/>
        <v/>
      </c>
      <c r="B338" s="65" t="s">
        <v>197</v>
      </c>
      <c r="C338" s="350" t="s">
        <v>852</v>
      </c>
      <c r="D338" s="10" t="s">
        <v>47</v>
      </c>
      <c r="E338" s="353" t="s">
        <v>503</v>
      </c>
      <c r="F338" s="352">
        <v>2</v>
      </c>
      <c r="G338" s="17">
        <f t="shared" si="16"/>
        <v>420.69022631936599</v>
      </c>
      <c r="H338" s="17">
        <f t="shared" si="17"/>
        <v>0</v>
      </c>
      <c r="I338" s="17">
        <v>420.69022631936599</v>
      </c>
      <c r="J338" s="17">
        <v>0</v>
      </c>
      <c r="K338" s="17">
        <v>4674.3358479929557</v>
      </c>
      <c r="L338" s="17">
        <v>0</v>
      </c>
      <c r="M338" s="346">
        <v>0.3</v>
      </c>
      <c r="N338" s="17">
        <v>2</v>
      </c>
      <c r="O338" s="346">
        <v>0</v>
      </c>
      <c r="P338" s="17">
        <v>5</v>
      </c>
    </row>
    <row r="339" spans="1:16">
      <c r="A339" s="10" t="str">
        <f t="shared" ca="1" si="15"/>
        <v/>
      </c>
      <c r="B339" s="65" t="s">
        <v>197</v>
      </c>
      <c r="C339" s="350" t="s">
        <v>853</v>
      </c>
      <c r="D339" s="10" t="s">
        <v>47</v>
      </c>
      <c r="E339" s="353" t="s">
        <v>506</v>
      </c>
      <c r="F339" s="352">
        <v>2</v>
      </c>
      <c r="G339" s="17">
        <f t="shared" si="16"/>
        <v>420.69022631936599</v>
      </c>
      <c r="H339" s="17">
        <f t="shared" si="17"/>
        <v>0</v>
      </c>
      <c r="I339" s="17">
        <v>420.69022631936599</v>
      </c>
      <c r="J339" s="17">
        <v>0</v>
      </c>
      <c r="K339" s="17">
        <v>4674.3358479929557</v>
      </c>
      <c r="L339" s="17">
        <v>0</v>
      </c>
      <c r="M339" s="346">
        <v>0.3</v>
      </c>
      <c r="N339" s="17">
        <v>2</v>
      </c>
      <c r="O339" s="346">
        <v>0</v>
      </c>
      <c r="P339" s="17">
        <v>5</v>
      </c>
    </row>
    <row r="340" spans="1:16">
      <c r="A340" s="10" t="str">
        <f t="shared" ca="1" si="15"/>
        <v/>
      </c>
      <c r="B340" s="65" t="s">
        <v>197</v>
      </c>
      <c r="C340" s="350" t="s">
        <v>2254</v>
      </c>
      <c r="D340" s="10" t="s">
        <v>47</v>
      </c>
      <c r="E340" s="353" t="s">
        <v>2176</v>
      </c>
      <c r="F340" s="352">
        <v>2</v>
      </c>
      <c r="G340" s="17">
        <f t="shared" si="16"/>
        <v>21034.511315968299</v>
      </c>
      <c r="H340" s="17">
        <f t="shared" si="17"/>
        <v>0</v>
      </c>
      <c r="I340" s="17">
        <v>21034.511315968299</v>
      </c>
      <c r="J340" s="17">
        <v>0</v>
      </c>
      <c r="K340" s="17">
        <v>233716.79239964779</v>
      </c>
      <c r="L340" s="17">
        <v>0</v>
      </c>
      <c r="M340" s="346">
        <v>0.3</v>
      </c>
      <c r="N340" s="17">
        <v>2</v>
      </c>
      <c r="O340" s="346">
        <v>0</v>
      </c>
      <c r="P340" s="17">
        <v>5</v>
      </c>
    </row>
    <row r="341" spans="1:16">
      <c r="A341" s="10" t="str">
        <f t="shared" ca="1" si="15"/>
        <v/>
      </c>
      <c r="B341" s="65" t="s">
        <v>197</v>
      </c>
      <c r="C341" s="350" t="s">
        <v>854</v>
      </c>
      <c r="D341" s="10" t="s">
        <v>47</v>
      </c>
      <c r="E341" s="353" t="s">
        <v>512</v>
      </c>
      <c r="F341" s="352">
        <v>2</v>
      </c>
      <c r="G341" s="17">
        <f t="shared" si="16"/>
        <v>420.69022631936599</v>
      </c>
      <c r="H341" s="17">
        <f t="shared" si="17"/>
        <v>0</v>
      </c>
      <c r="I341" s="17">
        <v>420.69022631936599</v>
      </c>
      <c r="J341" s="17">
        <v>0</v>
      </c>
      <c r="K341" s="17">
        <v>4674.3358479929557</v>
      </c>
      <c r="L341" s="17">
        <v>0</v>
      </c>
      <c r="M341" s="346">
        <v>0.3</v>
      </c>
      <c r="N341" s="17">
        <v>2</v>
      </c>
      <c r="O341" s="346">
        <v>0</v>
      </c>
      <c r="P341" s="17">
        <v>5</v>
      </c>
    </row>
    <row r="342" spans="1:16">
      <c r="A342" s="10">
        <f t="shared" ca="1" si="15"/>
        <v>346</v>
      </c>
      <c r="B342" s="65" t="s">
        <v>270</v>
      </c>
      <c r="C342" s="350" t="s">
        <v>2255</v>
      </c>
      <c r="D342" s="10" t="s">
        <v>47</v>
      </c>
      <c r="E342" s="353" t="s">
        <v>2249</v>
      </c>
      <c r="F342" s="352">
        <v>1</v>
      </c>
      <c r="G342" s="17">
        <f t="shared" si="16"/>
        <v>1884.7865331828925</v>
      </c>
      <c r="H342" s="17">
        <f t="shared" si="17"/>
        <v>0</v>
      </c>
      <c r="I342" s="17">
        <v>1884.7865331828925</v>
      </c>
      <c r="J342" s="17">
        <v>0</v>
      </c>
      <c r="K342" s="17">
        <v>6282.6217772763084</v>
      </c>
      <c r="L342" s="17">
        <v>0</v>
      </c>
      <c r="M342" s="346">
        <v>0.3</v>
      </c>
      <c r="N342" s="17">
        <v>2</v>
      </c>
      <c r="O342" s="346">
        <v>0</v>
      </c>
      <c r="P342" s="17">
        <v>5</v>
      </c>
    </row>
    <row r="343" spans="1:16">
      <c r="A343" s="10" t="str">
        <f t="shared" ca="1" si="15"/>
        <v/>
      </c>
      <c r="B343" s="65" t="s">
        <v>270</v>
      </c>
      <c r="C343" s="350" t="s">
        <v>855</v>
      </c>
      <c r="D343" s="10" t="s">
        <v>47</v>
      </c>
      <c r="E343" s="353" t="s">
        <v>496</v>
      </c>
      <c r="F343" s="352">
        <v>1</v>
      </c>
      <c r="G343" s="17">
        <f t="shared" si="16"/>
        <v>942.39326659144626</v>
      </c>
      <c r="H343" s="17">
        <f t="shared" si="17"/>
        <v>0</v>
      </c>
      <c r="I343" s="17">
        <v>942.39326659144626</v>
      </c>
      <c r="J343" s="17">
        <v>0</v>
      </c>
      <c r="K343" s="17">
        <v>3141.3108886381542</v>
      </c>
      <c r="L343" s="17">
        <v>0</v>
      </c>
      <c r="M343" s="346">
        <v>0.3</v>
      </c>
      <c r="N343" s="17">
        <v>2</v>
      </c>
      <c r="O343" s="346">
        <v>0</v>
      </c>
      <c r="P343" s="17">
        <v>5</v>
      </c>
    </row>
    <row r="344" spans="1:16">
      <c r="A344" s="10" t="str">
        <f t="shared" ca="1" si="15"/>
        <v/>
      </c>
      <c r="B344" s="65" t="s">
        <v>270</v>
      </c>
      <c r="C344" s="350" t="s">
        <v>2067</v>
      </c>
      <c r="D344" s="10" t="s">
        <v>47</v>
      </c>
      <c r="E344" s="353" t="s">
        <v>1963</v>
      </c>
      <c r="F344" s="352">
        <v>2</v>
      </c>
      <c r="G344" s="17">
        <f t="shared" si="16"/>
        <v>141.35898998871693</v>
      </c>
      <c r="H344" s="17">
        <f t="shared" si="17"/>
        <v>0</v>
      </c>
      <c r="I344" s="17">
        <v>141.35898998871693</v>
      </c>
      <c r="J344" s="17">
        <v>0</v>
      </c>
      <c r="K344" s="17">
        <v>1570.6554443190771</v>
      </c>
      <c r="L344" s="17">
        <v>0</v>
      </c>
      <c r="M344" s="346">
        <v>0.3</v>
      </c>
      <c r="N344" s="17">
        <v>2</v>
      </c>
      <c r="O344" s="346">
        <v>0</v>
      </c>
      <c r="P344" s="17">
        <v>5</v>
      </c>
    </row>
    <row r="345" spans="1:16">
      <c r="A345" s="10" t="str">
        <f t="shared" ca="1" si="15"/>
        <v/>
      </c>
      <c r="B345" s="65" t="s">
        <v>270</v>
      </c>
      <c r="C345" s="350" t="s">
        <v>856</v>
      </c>
      <c r="D345" s="10" t="s">
        <v>47</v>
      </c>
      <c r="E345" s="353" t="s">
        <v>501</v>
      </c>
      <c r="F345" s="352">
        <v>2</v>
      </c>
      <c r="G345" s="17">
        <f t="shared" si="16"/>
        <v>282.71797997743386</v>
      </c>
      <c r="H345" s="17">
        <f t="shared" si="17"/>
        <v>0</v>
      </c>
      <c r="I345" s="17">
        <v>282.71797997743386</v>
      </c>
      <c r="J345" s="17">
        <v>0</v>
      </c>
      <c r="K345" s="17">
        <v>3141.3108886381542</v>
      </c>
      <c r="L345" s="17">
        <v>0</v>
      </c>
      <c r="M345" s="346">
        <v>0.3</v>
      </c>
      <c r="N345" s="17">
        <v>2</v>
      </c>
      <c r="O345" s="346">
        <v>0</v>
      </c>
      <c r="P345" s="17">
        <v>5</v>
      </c>
    </row>
    <row r="346" spans="1:16">
      <c r="A346" s="10" t="str">
        <f t="shared" ca="1" si="15"/>
        <v/>
      </c>
      <c r="B346" s="65" t="s">
        <v>270</v>
      </c>
      <c r="C346" s="350" t="s">
        <v>2068</v>
      </c>
      <c r="D346" s="10" t="s">
        <v>47</v>
      </c>
      <c r="E346" s="353" t="s">
        <v>495</v>
      </c>
      <c r="F346" s="352">
        <v>5</v>
      </c>
      <c r="G346" s="17">
        <f t="shared" si="16"/>
        <v>942.39326659144626</v>
      </c>
      <c r="H346" s="17">
        <f t="shared" si="17"/>
        <v>0</v>
      </c>
      <c r="I346" s="17">
        <v>942.39326659144626</v>
      </c>
      <c r="J346" s="17">
        <v>0</v>
      </c>
      <c r="K346" s="17">
        <v>3141.3108886381542</v>
      </c>
      <c r="L346" s="17">
        <v>0</v>
      </c>
      <c r="M346" s="346">
        <v>0.3</v>
      </c>
      <c r="N346" s="17">
        <v>2</v>
      </c>
      <c r="O346" s="346">
        <v>0</v>
      </c>
      <c r="P346" s="17">
        <v>5</v>
      </c>
    </row>
    <row r="347" spans="1:16">
      <c r="A347" s="10">
        <f t="shared" ca="1" si="15"/>
        <v>348</v>
      </c>
      <c r="B347" s="65" t="s">
        <v>278</v>
      </c>
      <c r="C347" s="350" t="s">
        <v>2069</v>
      </c>
      <c r="D347" s="10" t="s">
        <v>47</v>
      </c>
      <c r="E347" s="353" t="s">
        <v>2070</v>
      </c>
      <c r="F347" s="352">
        <v>1</v>
      </c>
      <c r="G347" s="17">
        <f t="shared" si="16"/>
        <v>90.654845465231219</v>
      </c>
      <c r="H347" s="17">
        <f t="shared" si="17"/>
        <v>0</v>
      </c>
      <c r="I347" s="17">
        <v>90.654845465231219</v>
      </c>
      <c r="J347" s="17">
        <v>0</v>
      </c>
      <c r="K347" s="17">
        <v>302.18281821743739</v>
      </c>
      <c r="L347" s="17">
        <v>0</v>
      </c>
      <c r="M347" s="346">
        <v>0.3</v>
      </c>
      <c r="N347" s="17">
        <v>2</v>
      </c>
      <c r="O347" s="346">
        <v>0</v>
      </c>
      <c r="P347" s="17">
        <v>5</v>
      </c>
    </row>
    <row r="348" spans="1:16">
      <c r="A348" s="10" t="str">
        <f t="shared" ca="1" si="15"/>
        <v/>
      </c>
      <c r="B348" s="65" t="s">
        <v>278</v>
      </c>
      <c r="C348" s="350" t="s">
        <v>857</v>
      </c>
      <c r="D348" s="10" t="s">
        <v>47</v>
      </c>
      <c r="E348" s="353" t="s">
        <v>565</v>
      </c>
      <c r="F348" s="352">
        <v>1</v>
      </c>
      <c r="G348" s="17">
        <f t="shared" si="16"/>
        <v>90.654845465231219</v>
      </c>
      <c r="H348" s="17">
        <f t="shared" si="17"/>
        <v>0</v>
      </c>
      <c r="I348" s="17">
        <v>90.654845465231219</v>
      </c>
      <c r="J348" s="17">
        <v>0</v>
      </c>
      <c r="K348" s="17">
        <v>302.18281821743739</v>
      </c>
      <c r="L348" s="17">
        <v>0</v>
      </c>
      <c r="M348" s="346">
        <v>0.3</v>
      </c>
      <c r="N348" s="17">
        <v>2</v>
      </c>
      <c r="O348" s="346">
        <v>0</v>
      </c>
      <c r="P348" s="17">
        <v>5</v>
      </c>
    </row>
    <row r="349" spans="1:16">
      <c r="A349" s="10">
        <f t="shared" ca="1" si="15"/>
        <v>350</v>
      </c>
      <c r="B349" s="65" t="s">
        <v>467</v>
      </c>
      <c r="C349" s="350" t="s">
        <v>858</v>
      </c>
      <c r="D349" s="10" t="s">
        <v>47</v>
      </c>
      <c r="E349" s="353" t="s">
        <v>501</v>
      </c>
      <c r="F349" s="352">
        <v>2</v>
      </c>
      <c r="G349" s="17">
        <f t="shared" si="16"/>
        <v>434.83697256827651</v>
      </c>
      <c r="H349" s="17">
        <f t="shared" si="17"/>
        <v>0</v>
      </c>
      <c r="I349" s="17">
        <v>434.83697256827651</v>
      </c>
      <c r="J349" s="17">
        <v>0</v>
      </c>
      <c r="K349" s="17">
        <v>4831.5219174252952</v>
      </c>
      <c r="L349" s="17">
        <v>0</v>
      </c>
      <c r="M349" s="346">
        <v>0.3</v>
      </c>
      <c r="N349" s="17">
        <v>2</v>
      </c>
      <c r="O349" s="346">
        <v>0</v>
      </c>
      <c r="P349" s="17">
        <v>5</v>
      </c>
    </row>
    <row r="350" spans="1:16">
      <c r="A350" s="10" t="str">
        <f t="shared" ca="1" si="15"/>
        <v/>
      </c>
      <c r="B350" s="65" t="s">
        <v>467</v>
      </c>
      <c r="C350" s="350" t="s">
        <v>2071</v>
      </c>
      <c r="D350" s="10" t="s">
        <v>47</v>
      </c>
      <c r="E350" s="353" t="s">
        <v>502</v>
      </c>
      <c r="F350" s="352">
        <v>2</v>
      </c>
      <c r="G350" s="17">
        <f t="shared" si="16"/>
        <v>289.89131504551767</v>
      </c>
      <c r="H350" s="17">
        <f t="shared" si="17"/>
        <v>0</v>
      </c>
      <c r="I350" s="17">
        <v>289.89131504551767</v>
      </c>
      <c r="J350" s="17">
        <v>0</v>
      </c>
      <c r="K350" s="17">
        <v>3221.0146116168635</v>
      </c>
      <c r="L350" s="17">
        <v>0</v>
      </c>
      <c r="M350" s="346">
        <v>0.3</v>
      </c>
      <c r="N350" s="17">
        <v>2</v>
      </c>
      <c r="O350" s="346">
        <v>0</v>
      </c>
      <c r="P350" s="17">
        <v>5</v>
      </c>
    </row>
    <row r="351" spans="1:16">
      <c r="A351" s="10">
        <f t="shared" ca="1" si="15"/>
        <v>351</v>
      </c>
      <c r="B351" s="65" t="s">
        <v>1937</v>
      </c>
      <c r="C351" s="350" t="s">
        <v>2072</v>
      </c>
      <c r="D351" s="10" t="s">
        <v>47</v>
      </c>
      <c r="E351" s="353" t="s">
        <v>538</v>
      </c>
      <c r="F351" s="352">
        <v>2</v>
      </c>
      <c r="G351" s="17">
        <f t="shared" si="16"/>
        <v>7.6889243416040376</v>
      </c>
      <c r="H351" s="17">
        <f t="shared" si="17"/>
        <v>0</v>
      </c>
      <c r="I351" s="17">
        <v>7.6889243416040376</v>
      </c>
      <c r="J351" s="17">
        <v>0</v>
      </c>
      <c r="K351" s="17">
        <v>85.432492684489304</v>
      </c>
      <c r="L351" s="17">
        <v>0</v>
      </c>
      <c r="M351" s="346">
        <v>0.3</v>
      </c>
      <c r="N351" s="17">
        <v>2</v>
      </c>
      <c r="O351" s="346">
        <v>0</v>
      </c>
      <c r="P351" s="17">
        <v>5</v>
      </c>
    </row>
    <row r="352" spans="1:16">
      <c r="A352" s="10">
        <f t="shared" ca="1" si="15"/>
        <v>352</v>
      </c>
      <c r="B352" s="65" t="s">
        <v>1938</v>
      </c>
      <c r="C352" s="350" t="s">
        <v>2073</v>
      </c>
      <c r="D352" s="10" t="s">
        <v>47</v>
      </c>
      <c r="E352" s="353" t="s">
        <v>535</v>
      </c>
      <c r="F352" s="352">
        <v>1</v>
      </c>
      <c r="G352" s="17">
        <f t="shared" si="16"/>
        <v>5.3999999999999995</v>
      </c>
      <c r="H352" s="17">
        <f t="shared" si="17"/>
        <v>0</v>
      </c>
      <c r="I352" s="17">
        <v>5.3999999999999995</v>
      </c>
      <c r="J352" s="17">
        <v>0</v>
      </c>
      <c r="K352" s="17">
        <v>18</v>
      </c>
      <c r="L352" s="17">
        <v>0</v>
      </c>
      <c r="M352" s="346">
        <v>0.3</v>
      </c>
      <c r="N352" s="17">
        <v>2</v>
      </c>
      <c r="O352" s="346">
        <v>0</v>
      </c>
      <c r="P352" s="17">
        <v>5</v>
      </c>
    </row>
    <row r="353" spans="1:16">
      <c r="A353" s="10">
        <f t="shared" ca="1" si="15"/>
        <v>353</v>
      </c>
      <c r="B353" s="65" t="s">
        <v>2114</v>
      </c>
      <c r="C353" s="350" t="s">
        <v>2256</v>
      </c>
      <c r="D353" s="10" t="s">
        <v>37</v>
      </c>
      <c r="E353" s="351" t="s">
        <v>2257</v>
      </c>
      <c r="F353" s="352">
        <v>27</v>
      </c>
      <c r="G353" s="17">
        <f t="shared" si="16"/>
        <v>212.79999999999998</v>
      </c>
      <c r="H353" s="17">
        <f t="shared" si="17"/>
        <v>10603.185599999999</v>
      </c>
      <c r="I353" s="17">
        <v>212.79999999999998</v>
      </c>
      <c r="J353" s="17">
        <v>10603.185599999999</v>
      </c>
      <c r="K353" s="17">
        <v>280</v>
      </c>
      <c r="L353" s="17">
        <v>15944.64</v>
      </c>
      <c r="M353" s="346">
        <v>0.8</v>
      </c>
      <c r="N353" s="17">
        <v>3</v>
      </c>
      <c r="O353" s="346">
        <v>0.7</v>
      </c>
      <c r="P353" s="17">
        <v>5</v>
      </c>
    </row>
    <row r="354" spans="1:16">
      <c r="A354" s="10">
        <f t="shared" ca="1" si="15"/>
        <v>354</v>
      </c>
      <c r="B354" s="65" t="s">
        <v>2119</v>
      </c>
      <c r="C354" s="350" t="s">
        <v>2258</v>
      </c>
      <c r="D354" s="10" t="s">
        <v>37</v>
      </c>
      <c r="E354" s="351" t="s">
        <v>2259</v>
      </c>
      <c r="F354" s="352">
        <v>29</v>
      </c>
      <c r="G354" s="17">
        <f t="shared" si="16"/>
        <v>166.6</v>
      </c>
      <c r="H354" s="17">
        <f t="shared" si="17"/>
        <v>7597.3140249999979</v>
      </c>
      <c r="I354" s="17">
        <v>166.6</v>
      </c>
      <c r="J354" s="17">
        <v>7597.3140249999979</v>
      </c>
      <c r="K354" s="17">
        <v>244.99999999999997</v>
      </c>
      <c r="L354" s="17">
        <v>12768.594999999998</v>
      </c>
      <c r="M354" s="346">
        <v>0.8</v>
      </c>
      <c r="N354" s="17">
        <v>3</v>
      </c>
      <c r="O354" s="346">
        <v>0.7</v>
      </c>
      <c r="P354" s="17">
        <v>5</v>
      </c>
    </row>
    <row r="355" spans="1:16">
      <c r="A355" s="10">
        <f t="shared" ca="1" si="15"/>
        <v>355</v>
      </c>
      <c r="B355" s="350" t="s">
        <v>2116</v>
      </c>
      <c r="C355" s="350" t="s">
        <v>2260</v>
      </c>
      <c r="D355" s="10" t="s">
        <v>51</v>
      </c>
      <c r="E355" s="350" t="s">
        <v>2074</v>
      </c>
      <c r="F355" s="350">
        <v>29</v>
      </c>
      <c r="G355" s="17">
        <f t="shared" si="16"/>
        <v>16.574999999999999</v>
      </c>
      <c r="H355" s="17">
        <f t="shared" si="17"/>
        <v>152.15849999999998</v>
      </c>
      <c r="I355" s="17">
        <v>16.574999999999999</v>
      </c>
      <c r="J355" s="17">
        <v>152.15849999999998</v>
      </c>
      <c r="K355" s="17">
        <v>24.375</v>
      </c>
      <c r="L355" s="17">
        <v>358.02</v>
      </c>
      <c r="M355" s="346">
        <v>0.8</v>
      </c>
      <c r="N355" s="17">
        <v>3</v>
      </c>
      <c r="O355" s="346">
        <v>0.5</v>
      </c>
      <c r="P355" s="17">
        <v>3</v>
      </c>
    </row>
    <row r="356" spans="1:16">
      <c r="A356" s="10">
        <f t="shared" ca="1" si="15"/>
        <v>356</v>
      </c>
      <c r="B356" s="65" t="s">
        <v>209</v>
      </c>
      <c r="C356" s="350" t="s">
        <v>859</v>
      </c>
      <c r="D356" s="10" t="s">
        <v>52</v>
      </c>
      <c r="E356" s="351" t="s">
        <v>566</v>
      </c>
      <c r="F356" s="352">
        <v>80</v>
      </c>
      <c r="G356" s="17">
        <f t="shared" si="16"/>
        <v>39.199999999999996</v>
      </c>
      <c r="H356" s="17">
        <f t="shared" si="17"/>
        <v>2849.1637499999997</v>
      </c>
      <c r="I356" s="17">
        <v>39.199999999999996</v>
      </c>
      <c r="J356" s="17">
        <v>2849.1637499999997</v>
      </c>
      <c r="K356" s="17">
        <v>56</v>
      </c>
      <c r="L356" s="17">
        <v>3165.7374999999997</v>
      </c>
      <c r="M356" s="346">
        <v>0.7</v>
      </c>
      <c r="N356" s="17">
        <v>5</v>
      </c>
      <c r="O356" s="346">
        <v>0.9</v>
      </c>
      <c r="P356" s="17">
        <v>5</v>
      </c>
    </row>
    <row r="357" spans="1:16">
      <c r="A357" s="10">
        <f t="shared" ca="1" si="15"/>
        <v>357</v>
      </c>
      <c r="B357" s="65" t="s">
        <v>2113</v>
      </c>
      <c r="C357" s="350" t="s">
        <v>2261</v>
      </c>
      <c r="D357" s="10" t="s">
        <v>49</v>
      </c>
      <c r="E357" s="350" t="s">
        <v>2262</v>
      </c>
      <c r="F357" s="352">
        <v>54</v>
      </c>
      <c r="G357" s="17">
        <f t="shared" si="16"/>
        <v>3.36</v>
      </c>
      <c r="H357" s="17">
        <f t="shared" si="17"/>
        <v>69.943950000000015</v>
      </c>
      <c r="I357" s="17">
        <v>3.36</v>
      </c>
      <c r="J357" s="17">
        <v>69.943950000000015</v>
      </c>
      <c r="K357" s="17">
        <v>4.8</v>
      </c>
      <c r="L357" s="17">
        <v>174.85987500000002</v>
      </c>
      <c r="M357" s="346">
        <v>0.7</v>
      </c>
      <c r="N357" s="17">
        <v>5</v>
      </c>
      <c r="O357" s="346">
        <v>0.4</v>
      </c>
      <c r="P357" s="17">
        <v>5</v>
      </c>
    </row>
    <row r="358" spans="1:16">
      <c r="A358" s="10">
        <f t="shared" ca="1" si="15"/>
        <v>358</v>
      </c>
      <c r="B358" s="65" t="s">
        <v>206</v>
      </c>
      <c r="C358" s="350" t="s">
        <v>860</v>
      </c>
      <c r="D358" s="10" t="s">
        <v>50</v>
      </c>
      <c r="E358" s="350" t="s">
        <v>567</v>
      </c>
      <c r="F358" s="352">
        <v>30</v>
      </c>
      <c r="G358" s="17">
        <f t="shared" si="16"/>
        <v>1.4174999999999998</v>
      </c>
      <c r="H358" s="17">
        <f t="shared" si="17"/>
        <v>29.324662499999995</v>
      </c>
      <c r="I358" s="17">
        <v>1.4174999999999998</v>
      </c>
      <c r="J358" s="17">
        <v>29.324662499999995</v>
      </c>
      <c r="K358" s="17">
        <v>2.25</v>
      </c>
      <c r="L358" s="17">
        <v>59.846249999999998</v>
      </c>
      <c r="M358" s="346">
        <v>0.9</v>
      </c>
      <c r="N358" s="17">
        <v>3</v>
      </c>
      <c r="O358" s="346">
        <v>0.7</v>
      </c>
      <c r="P358" s="17">
        <v>5</v>
      </c>
    </row>
    <row r="359" spans="1:16">
      <c r="A359" s="10">
        <f t="shared" ca="1" si="15"/>
        <v>359</v>
      </c>
      <c r="B359" s="65" t="s">
        <v>622</v>
      </c>
      <c r="C359" s="350" t="s">
        <v>861</v>
      </c>
      <c r="D359" s="10" t="s">
        <v>50</v>
      </c>
      <c r="E359" s="350" t="s">
        <v>659</v>
      </c>
      <c r="F359" s="352">
        <v>30</v>
      </c>
      <c r="G359" s="17">
        <f t="shared" si="16"/>
        <v>428.75</v>
      </c>
      <c r="H359" s="17">
        <f t="shared" si="17"/>
        <v>14068.09159</v>
      </c>
      <c r="I359" s="17">
        <v>428.75</v>
      </c>
      <c r="J359" s="17">
        <v>14068.09159</v>
      </c>
      <c r="K359" s="17">
        <v>875</v>
      </c>
      <c r="L359" s="17">
        <v>28710.391000000003</v>
      </c>
      <c r="M359" s="346">
        <v>0.7</v>
      </c>
      <c r="N359" s="17">
        <v>4</v>
      </c>
      <c r="O359" s="346">
        <v>0.7</v>
      </c>
      <c r="P359" s="17">
        <v>4</v>
      </c>
    </row>
    <row r="360" spans="1:16">
      <c r="A360" s="10">
        <f t="shared" ca="1" si="15"/>
        <v>360</v>
      </c>
      <c r="B360" s="65" t="s">
        <v>469</v>
      </c>
      <c r="C360" s="350" t="s">
        <v>862</v>
      </c>
      <c r="D360" s="10" t="s">
        <v>50</v>
      </c>
      <c r="E360" s="351" t="s">
        <v>568</v>
      </c>
      <c r="F360" s="352">
        <v>54</v>
      </c>
      <c r="G360" s="17">
        <f t="shared" si="16"/>
        <v>4.8599999999999994</v>
      </c>
      <c r="H360" s="17">
        <f t="shared" si="17"/>
        <v>111.69112499999997</v>
      </c>
      <c r="I360" s="17">
        <v>4.8599999999999994</v>
      </c>
      <c r="J360" s="17">
        <v>111.69112499999997</v>
      </c>
      <c r="K360" s="17">
        <v>5.3999999999999995</v>
      </c>
      <c r="L360" s="17">
        <v>159.55874999999997</v>
      </c>
      <c r="M360" s="346">
        <v>0.9</v>
      </c>
      <c r="N360" s="17">
        <v>3</v>
      </c>
      <c r="O360" s="346">
        <v>0.7</v>
      </c>
      <c r="P360" s="17">
        <v>4</v>
      </c>
    </row>
    <row r="361" spans="1:16">
      <c r="A361" s="10">
        <f t="shared" ca="1" si="15"/>
        <v>361</v>
      </c>
      <c r="B361" s="65" t="s">
        <v>623</v>
      </c>
      <c r="C361" s="350" t="s">
        <v>2075</v>
      </c>
      <c r="D361" s="10" t="s">
        <v>50</v>
      </c>
      <c r="E361" s="350" t="s">
        <v>2076</v>
      </c>
      <c r="F361" s="352">
        <v>29</v>
      </c>
      <c r="G361" s="17">
        <f t="shared" si="16"/>
        <v>30.096630000000001</v>
      </c>
      <c r="H361" s="17">
        <f t="shared" si="17"/>
        <v>232.844325</v>
      </c>
      <c r="I361" s="17">
        <v>30.096630000000001</v>
      </c>
      <c r="J361" s="17">
        <v>232.844325</v>
      </c>
      <c r="K361" s="17">
        <v>39.341999999999999</v>
      </c>
      <c r="L361" s="17">
        <v>391.33500000000004</v>
      </c>
      <c r="M361" s="346">
        <v>0.9</v>
      </c>
      <c r="N361" s="17">
        <v>3</v>
      </c>
      <c r="O361" s="346">
        <v>0.7</v>
      </c>
      <c r="P361" s="17">
        <v>7</v>
      </c>
    </row>
    <row r="362" spans="1:16">
      <c r="A362" s="10">
        <f t="shared" ca="1" si="15"/>
        <v>362</v>
      </c>
      <c r="B362" s="65" t="s">
        <v>470</v>
      </c>
      <c r="C362" s="350" t="s">
        <v>863</v>
      </c>
      <c r="D362" s="10" t="s">
        <v>51</v>
      </c>
      <c r="E362" s="350" t="s">
        <v>569</v>
      </c>
      <c r="F362" s="352">
        <v>21</v>
      </c>
      <c r="G362" s="17">
        <f t="shared" si="16"/>
        <v>172.48000000000005</v>
      </c>
      <c r="H362" s="17">
        <f t="shared" si="17"/>
        <v>1052.0153</v>
      </c>
      <c r="I362" s="17">
        <v>172.48000000000005</v>
      </c>
      <c r="J362" s="17">
        <v>1052.0153</v>
      </c>
      <c r="K362" s="17">
        <v>308.00000000000006</v>
      </c>
      <c r="L362" s="17">
        <v>2146.9700000000003</v>
      </c>
      <c r="M362" s="346">
        <v>0.8</v>
      </c>
      <c r="N362" s="17">
        <v>3</v>
      </c>
      <c r="O362" s="346">
        <v>0.7</v>
      </c>
      <c r="P362" s="17">
        <v>5</v>
      </c>
    </row>
    <row r="363" spans="1:16">
      <c r="A363" s="10">
        <f t="shared" ca="1" si="15"/>
        <v>363</v>
      </c>
      <c r="B363" s="65" t="s">
        <v>213</v>
      </c>
      <c r="C363" s="350" t="s">
        <v>2077</v>
      </c>
      <c r="D363" s="10" t="s">
        <v>50</v>
      </c>
      <c r="E363" s="351" t="s">
        <v>2078</v>
      </c>
      <c r="F363" s="352">
        <v>53</v>
      </c>
      <c r="G363" s="17">
        <f t="shared" si="16"/>
        <v>931.2</v>
      </c>
      <c r="H363" s="17">
        <f t="shared" si="17"/>
        <v>89750.400000000009</v>
      </c>
      <c r="I363" s="17">
        <v>931.2</v>
      </c>
      <c r="J363" s="17">
        <v>89750.400000000009</v>
      </c>
      <c r="K363" s="17">
        <v>4656</v>
      </c>
      <c r="L363" s="17">
        <v>448752</v>
      </c>
      <c r="M363" s="346">
        <v>0.2</v>
      </c>
      <c r="N363" s="17">
        <v>7</v>
      </c>
      <c r="O363" s="346">
        <v>0.2</v>
      </c>
      <c r="P363" s="17">
        <v>7</v>
      </c>
    </row>
    <row r="364" spans="1:16">
      <c r="A364" s="10">
        <f t="shared" ca="1" si="15"/>
        <v>364</v>
      </c>
      <c r="B364" s="350" t="s">
        <v>2151</v>
      </c>
      <c r="C364" s="350" t="s">
        <v>2263</v>
      </c>
      <c r="D364" s="10" t="s">
        <v>51</v>
      </c>
      <c r="E364" s="350" t="s">
        <v>2264</v>
      </c>
      <c r="F364" s="350">
        <v>29</v>
      </c>
      <c r="G364" s="17">
        <f t="shared" si="16"/>
        <v>44.522999999999996</v>
      </c>
      <c r="H364" s="17">
        <f t="shared" si="17"/>
        <v>104.57855999999998</v>
      </c>
      <c r="I364" s="17">
        <v>44.522999999999996</v>
      </c>
      <c r="J364" s="17">
        <v>104.57855999999998</v>
      </c>
      <c r="K364" s="17">
        <v>58.199999999999996</v>
      </c>
      <c r="L364" s="17">
        <v>410.11199999999997</v>
      </c>
      <c r="M364" s="346">
        <v>0.9</v>
      </c>
      <c r="N364" s="17">
        <v>2</v>
      </c>
      <c r="O364" s="346">
        <v>0.3</v>
      </c>
      <c r="P364" s="17">
        <v>3</v>
      </c>
    </row>
    <row r="365" spans="1:16">
      <c r="A365" s="10">
        <f t="shared" ca="1" si="15"/>
        <v>365</v>
      </c>
      <c r="B365" s="350" t="s">
        <v>56</v>
      </c>
      <c r="C365" s="350" t="s">
        <v>864</v>
      </c>
      <c r="D365" s="10" t="s">
        <v>36</v>
      </c>
      <c r="E365" s="350" t="s">
        <v>570</v>
      </c>
      <c r="F365" s="350">
        <v>27</v>
      </c>
      <c r="G365" s="17">
        <f t="shared" si="16"/>
        <v>239.39999999999995</v>
      </c>
      <c r="H365" s="17">
        <f t="shared" si="17"/>
        <v>152.84968000000001</v>
      </c>
      <c r="I365" s="17">
        <v>239.39999999999995</v>
      </c>
      <c r="J365" s="17">
        <v>152.84968000000001</v>
      </c>
      <c r="K365" s="17">
        <v>360</v>
      </c>
      <c r="L365" s="17">
        <v>402.23599999999999</v>
      </c>
      <c r="M365" s="346">
        <v>0.7</v>
      </c>
      <c r="N365" s="17">
        <v>1</v>
      </c>
      <c r="O365" s="346">
        <v>0.4</v>
      </c>
      <c r="P365" s="17">
        <v>1</v>
      </c>
    </row>
    <row r="366" spans="1:16">
      <c r="A366" s="10">
        <f t="shared" ca="1" si="15"/>
        <v>368</v>
      </c>
      <c r="B366" s="65" t="s">
        <v>223</v>
      </c>
      <c r="C366" s="350" t="s">
        <v>865</v>
      </c>
      <c r="D366" s="10" t="s">
        <v>36</v>
      </c>
      <c r="E366" s="350" t="s">
        <v>571</v>
      </c>
      <c r="F366" s="352">
        <v>27</v>
      </c>
      <c r="G366" s="17">
        <f t="shared" si="16"/>
        <v>24.508267199999999</v>
      </c>
      <c r="H366" s="17">
        <f t="shared" si="17"/>
        <v>1051.9908243749999</v>
      </c>
      <c r="I366" s="17">
        <v>24.508267199999999</v>
      </c>
      <c r="J366" s="17">
        <v>1051.9908243749999</v>
      </c>
      <c r="K366" s="17">
        <v>32.247720000000001</v>
      </c>
      <c r="L366" s="17">
        <v>1476.4783500000001</v>
      </c>
      <c r="M366" s="346">
        <v>0.8</v>
      </c>
      <c r="N366" s="17">
        <v>3</v>
      </c>
      <c r="O366" s="346">
        <v>0.75</v>
      </c>
      <c r="P366" s="17">
        <v>3</v>
      </c>
    </row>
    <row r="367" spans="1:16">
      <c r="A367" s="10" t="str">
        <f t="shared" ca="1" si="15"/>
        <v/>
      </c>
      <c r="B367" s="65" t="s">
        <v>223</v>
      </c>
      <c r="C367" s="350" t="s">
        <v>866</v>
      </c>
      <c r="D367" s="10" t="s">
        <v>36</v>
      </c>
      <c r="E367" s="351" t="s">
        <v>660</v>
      </c>
      <c r="F367" s="352">
        <v>27</v>
      </c>
      <c r="G367" s="17">
        <f t="shared" si="16"/>
        <v>12.254133599999999</v>
      </c>
      <c r="H367" s="17">
        <f t="shared" si="17"/>
        <v>525.99541218749994</v>
      </c>
      <c r="I367" s="17">
        <v>12.254133599999999</v>
      </c>
      <c r="J367" s="17">
        <v>525.99541218749994</v>
      </c>
      <c r="K367" s="17">
        <v>16.123860000000001</v>
      </c>
      <c r="L367" s="17">
        <v>738.23917500000005</v>
      </c>
      <c r="M367" s="346">
        <v>0.8</v>
      </c>
      <c r="N367" s="17">
        <v>3</v>
      </c>
      <c r="O367" s="346">
        <v>0.75</v>
      </c>
      <c r="P367" s="17">
        <v>3</v>
      </c>
    </row>
    <row r="368" spans="1:16">
      <c r="A368" s="10" t="str">
        <f t="shared" ca="1" si="15"/>
        <v/>
      </c>
      <c r="B368" s="65" t="s">
        <v>223</v>
      </c>
      <c r="C368" s="350" t="s">
        <v>867</v>
      </c>
      <c r="D368" s="10" t="s">
        <v>36</v>
      </c>
      <c r="E368" s="350" t="s">
        <v>572</v>
      </c>
      <c r="F368" s="352">
        <v>27</v>
      </c>
      <c r="G368" s="17">
        <f t="shared" si="16"/>
        <v>4.0847112000000001</v>
      </c>
      <c r="H368" s="17">
        <f t="shared" si="17"/>
        <v>175.3318040625</v>
      </c>
      <c r="I368" s="17">
        <v>4.0847112000000001</v>
      </c>
      <c r="J368" s="17">
        <v>175.3318040625</v>
      </c>
      <c r="K368" s="17">
        <v>5.3746199999999993</v>
      </c>
      <c r="L368" s="17">
        <v>246.07972500000002</v>
      </c>
      <c r="M368" s="346">
        <v>0.8</v>
      </c>
      <c r="N368" s="17">
        <v>3</v>
      </c>
      <c r="O368" s="346">
        <v>0.75</v>
      </c>
      <c r="P368" s="17">
        <v>3</v>
      </c>
    </row>
    <row r="369" spans="1:16">
      <c r="A369" s="10">
        <f t="shared" ca="1" si="15"/>
        <v>369</v>
      </c>
      <c r="B369" s="350" t="s">
        <v>2118</v>
      </c>
      <c r="C369" s="350" t="s">
        <v>2325</v>
      </c>
      <c r="D369" s="10" t="s">
        <v>53</v>
      </c>
      <c r="E369" s="350" t="s">
        <v>573</v>
      </c>
      <c r="F369" s="350">
        <v>51</v>
      </c>
      <c r="G369" s="17">
        <f t="shared" si="16"/>
        <v>8.19</v>
      </c>
      <c r="H369" s="17">
        <f t="shared" si="17"/>
        <v>296.50599999999991</v>
      </c>
      <c r="I369" s="17">
        <v>8.19</v>
      </c>
      <c r="J369" s="17">
        <v>296.50599999999991</v>
      </c>
      <c r="K369" s="17">
        <v>11.7</v>
      </c>
      <c r="L369" s="17">
        <v>423.57999999999993</v>
      </c>
      <c r="M369" s="346">
        <v>0.7</v>
      </c>
      <c r="N369" s="17">
        <v>3</v>
      </c>
      <c r="O369" s="346">
        <v>0.7</v>
      </c>
      <c r="P369" s="17">
        <v>3</v>
      </c>
    </row>
    <row r="370" spans="1:16">
      <c r="A370" s="10">
        <f t="shared" ca="1" si="15"/>
        <v>370</v>
      </c>
      <c r="B370" s="350" t="s">
        <v>2121</v>
      </c>
      <c r="C370" s="350" t="s">
        <v>2326</v>
      </c>
      <c r="D370" s="10" t="s">
        <v>53</v>
      </c>
      <c r="E370" s="354" t="s">
        <v>2079</v>
      </c>
      <c r="F370" s="350">
        <v>63</v>
      </c>
      <c r="G370" s="17">
        <f t="shared" si="16"/>
        <v>20.978999999999996</v>
      </c>
      <c r="H370" s="17">
        <f t="shared" si="17"/>
        <v>188.52623999999994</v>
      </c>
      <c r="I370" s="17">
        <v>20.978999999999996</v>
      </c>
      <c r="J370" s="17">
        <v>188.52623999999994</v>
      </c>
      <c r="K370" s="17">
        <v>23.309999999999995</v>
      </c>
      <c r="L370" s="17">
        <v>314.21039999999994</v>
      </c>
      <c r="M370" s="346">
        <v>0.9</v>
      </c>
      <c r="N370" s="17">
        <v>2</v>
      </c>
      <c r="O370" s="346">
        <v>0.6</v>
      </c>
      <c r="P370" s="17">
        <v>2</v>
      </c>
    </row>
    <row r="371" spans="1:16">
      <c r="A371" s="10">
        <f t="shared" ca="1" si="15"/>
        <v>371</v>
      </c>
      <c r="B371" s="65" t="s">
        <v>2153</v>
      </c>
      <c r="C371" s="350" t="s">
        <v>2265</v>
      </c>
      <c r="D371" s="10" t="s">
        <v>51</v>
      </c>
      <c r="E371" s="350" t="s">
        <v>2266</v>
      </c>
      <c r="F371" s="352">
        <v>29</v>
      </c>
      <c r="G371" s="17">
        <f t="shared" si="16"/>
        <v>187.42499999999998</v>
      </c>
      <c r="H371" s="17">
        <f t="shared" si="17"/>
        <v>2370.7879125000004</v>
      </c>
      <c r="I371" s="17">
        <v>187.42499999999998</v>
      </c>
      <c r="J371" s="17">
        <v>2370.7879125000004</v>
      </c>
      <c r="K371" s="17">
        <v>315</v>
      </c>
      <c r="L371" s="17">
        <v>3984.5175000000004</v>
      </c>
      <c r="M371" s="346">
        <v>0.7</v>
      </c>
      <c r="N371" s="17">
        <v>3</v>
      </c>
      <c r="O371" s="346">
        <v>0.7</v>
      </c>
      <c r="P371" s="17">
        <v>3</v>
      </c>
    </row>
    <row r="372" spans="1:16">
      <c r="A372" s="10">
        <f t="shared" ca="1" si="15"/>
        <v>372</v>
      </c>
      <c r="B372" s="350" t="s">
        <v>2155</v>
      </c>
      <c r="C372" s="350" t="s">
        <v>2267</v>
      </c>
      <c r="D372" s="10" t="s">
        <v>50</v>
      </c>
      <c r="E372" s="350" t="s">
        <v>574</v>
      </c>
      <c r="F372" s="350">
        <v>28</v>
      </c>
      <c r="G372" s="17">
        <f t="shared" si="16"/>
        <v>42.839999999999996</v>
      </c>
      <c r="H372" s="17">
        <f t="shared" si="17"/>
        <v>1459.39968</v>
      </c>
      <c r="I372" s="17">
        <v>42.839999999999996</v>
      </c>
      <c r="J372" s="17">
        <v>1459.39968</v>
      </c>
      <c r="K372" s="17">
        <v>72</v>
      </c>
      <c r="L372" s="17">
        <v>2861.5680000000002</v>
      </c>
      <c r="M372" s="346">
        <v>0.7</v>
      </c>
      <c r="N372" s="17">
        <v>3</v>
      </c>
      <c r="O372" s="346">
        <v>0.6</v>
      </c>
      <c r="P372" s="17">
        <v>3</v>
      </c>
    </row>
    <row r="373" spans="1:16">
      <c r="A373" s="10">
        <f t="shared" ca="1" si="15"/>
        <v>373</v>
      </c>
      <c r="B373" s="65" t="s">
        <v>2122</v>
      </c>
      <c r="C373" s="350" t="s">
        <v>2268</v>
      </c>
      <c r="D373" s="10" t="s">
        <v>37</v>
      </c>
      <c r="E373" s="351" t="s">
        <v>2269</v>
      </c>
      <c r="F373" s="352">
        <v>41</v>
      </c>
      <c r="G373" s="17">
        <f t="shared" si="16"/>
        <v>18438.560000000001</v>
      </c>
      <c r="H373" s="17">
        <f t="shared" si="17"/>
        <v>0</v>
      </c>
      <c r="I373" s="17">
        <v>18438.560000000001</v>
      </c>
      <c r="J373" s="17">
        <v>0</v>
      </c>
      <c r="K373" s="17">
        <v>65852</v>
      </c>
      <c r="L373" s="17">
        <v>0</v>
      </c>
      <c r="M373" s="346">
        <v>0.4</v>
      </c>
      <c r="N373" s="17">
        <v>4</v>
      </c>
      <c r="O373" s="346">
        <v>0.4</v>
      </c>
      <c r="P373" s="17">
        <v>4</v>
      </c>
    </row>
    <row r="374" spans="1:16">
      <c r="A374" s="10">
        <f t="shared" ca="1" si="15"/>
        <v>374</v>
      </c>
      <c r="B374" s="65" t="s">
        <v>2136</v>
      </c>
      <c r="C374" s="350" t="s">
        <v>2270</v>
      </c>
      <c r="D374" s="10" t="s">
        <v>50</v>
      </c>
      <c r="E374" s="350" t="s">
        <v>575</v>
      </c>
      <c r="F374" s="350">
        <v>54</v>
      </c>
      <c r="G374" s="17">
        <f t="shared" si="16"/>
        <v>14</v>
      </c>
      <c r="H374" s="17">
        <f t="shared" si="17"/>
        <v>673.82280000000003</v>
      </c>
      <c r="I374" s="17">
        <v>14</v>
      </c>
      <c r="J374" s="17">
        <v>673.82280000000003</v>
      </c>
      <c r="K374" s="17">
        <v>28</v>
      </c>
      <c r="L374" s="17">
        <v>1123.038</v>
      </c>
      <c r="M374" s="346">
        <v>0.5</v>
      </c>
      <c r="N374" s="17">
        <v>7</v>
      </c>
      <c r="O374" s="346">
        <v>0.6</v>
      </c>
      <c r="P374" s="17">
        <v>5</v>
      </c>
    </row>
    <row r="375" spans="1:16">
      <c r="A375" s="10">
        <f t="shared" ca="1" si="15"/>
        <v>375</v>
      </c>
      <c r="B375" s="65" t="s">
        <v>2139</v>
      </c>
      <c r="C375" s="350" t="s">
        <v>2271</v>
      </c>
      <c r="D375" s="10" t="s">
        <v>50</v>
      </c>
      <c r="E375" s="350" t="s">
        <v>575</v>
      </c>
      <c r="F375" s="350">
        <v>29</v>
      </c>
      <c r="G375" s="17">
        <f t="shared" si="16"/>
        <v>3.4424999999999999</v>
      </c>
      <c r="H375" s="17">
        <f t="shared" si="17"/>
        <v>16.696124999999999</v>
      </c>
      <c r="I375" s="17">
        <v>3.4424999999999999</v>
      </c>
      <c r="J375" s="17">
        <v>16.696124999999999</v>
      </c>
      <c r="K375" s="17">
        <v>4.5</v>
      </c>
      <c r="L375" s="17">
        <v>21.824999999999999</v>
      </c>
      <c r="M375" s="346">
        <v>0.9</v>
      </c>
      <c r="N375" s="17">
        <v>1</v>
      </c>
      <c r="O375" s="346">
        <v>0.9</v>
      </c>
      <c r="P375" s="17">
        <v>1</v>
      </c>
    </row>
    <row r="376" spans="1:16">
      <c r="A376" s="10">
        <f t="shared" ca="1" si="15"/>
        <v>376</v>
      </c>
      <c r="B376" s="65" t="s">
        <v>2143</v>
      </c>
      <c r="C376" s="350" t="s">
        <v>2272</v>
      </c>
      <c r="D376" s="10" t="s">
        <v>50</v>
      </c>
      <c r="E376" s="350" t="s">
        <v>575</v>
      </c>
      <c r="F376" s="350">
        <v>54</v>
      </c>
      <c r="G376" s="17">
        <f t="shared" si="16"/>
        <v>0.8</v>
      </c>
      <c r="H376" s="17">
        <f t="shared" si="17"/>
        <v>21.118800000000007</v>
      </c>
      <c r="I376" s="17">
        <v>0.8</v>
      </c>
      <c r="J376" s="17">
        <v>21.118800000000007</v>
      </c>
      <c r="K376" s="17">
        <v>1</v>
      </c>
      <c r="L376" s="17">
        <v>26.398500000000009</v>
      </c>
      <c r="M376" s="346">
        <v>0.8</v>
      </c>
      <c r="N376" s="17">
        <v>4</v>
      </c>
      <c r="O376" s="346">
        <v>0.8</v>
      </c>
      <c r="P376" s="17">
        <v>5</v>
      </c>
    </row>
    <row r="377" spans="1:16">
      <c r="A377" s="10">
        <f t="shared" ca="1" si="15"/>
        <v>377</v>
      </c>
      <c r="B377" s="65" t="s">
        <v>236</v>
      </c>
      <c r="C377" s="350" t="s">
        <v>868</v>
      </c>
      <c r="D377" s="10" t="s">
        <v>50</v>
      </c>
      <c r="E377" s="351" t="s">
        <v>576</v>
      </c>
      <c r="F377" s="352">
        <v>28</v>
      </c>
      <c r="G377" s="17">
        <f t="shared" si="16"/>
        <v>17.135999999999999</v>
      </c>
      <c r="H377" s="17">
        <f t="shared" si="17"/>
        <v>347.02032000000003</v>
      </c>
      <c r="I377" s="17">
        <v>17.135999999999999</v>
      </c>
      <c r="J377" s="17">
        <v>347.02032000000003</v>
      </c>
      <c r="K377" s="17">
        <v>28.8</v>
      </c>
      <c r="L377" s="17">
        <v>1020.648</v>
      </c>
      <c r="M377" s="346">
        <v>0.7</v>
      </c>
      <c r="N377" s="17">
        <v>5</v>
      </c>
      <c r="O377" s="346">
        <v>0.4</v>
      </c>
      <c r="P377" s="17">
        <v>5</v>
      </c>
    </row>
    <row r="378" spans="1:16">
      <c r="A378" s="10">
        <f t="shared" ca="1" si="15"/>
        <v>378</v>
      </c>
      <c r="B378" s="350" t="s">
        <v>2148</v>
      </c>
      <c r="C378" s="350" t="s">
        <v>2273</v>
      </c>
      <c r="D378" s="10" t="s">
        <v>50</v>
      </c>
      <c r="E378" s="350" t="s">
        <v>661</v>
      </c>
      <c r="F378" s="350">
        <v>20</v>
      </c>
      <c r="G378" s="17">
        <f t="shared" si="16"/>
        <v>17.009999999999998</v>
      </c>
      <c r="H378" s="17">
        <f t="shared" si="17"/>
        <v>12.684923999999997</v>
      </c>
      <c r="I378" s="17">
        <v>17.009999999999998</v>
      </c>
      <c r="J378" s="17">
        <v>12.684923999999997</v>
      </c>
      <c r="K378" s="17">
        <v>27</v>
      </c>
      <c r="L378" s="17">
        <v>60.404399999999995</v>
      </c>
      <c r="M378" s="346">
        <v>0.9</v>
      </c>
      <c r="N378" s="17">
        <v>2</v>
      </c>
      <c r="O378" s="346">
        <v>0.3</v>
      </c>
      <c r="P378" s="17">
        <v>3</v>
      </c>
    </row>
    <row r="379" spans="1:16">
      <c r="A379" s="10">
        <f t="shared" ca="1" si="15"/>
        <v>379</v>
      </c>
      <c r="B379" s="350" t="s">
        <v>57</v>
      </c>
      <c r="C379" s="350" t="s">
        <v>2327</v>
      </c>
      <c r="D379" s="10" t="s">
        <v>48</v>
      </c>
      <c r="E379" s="350" t="s">
        <v>2274</v>
      </c>
      <c r="F379" s="350">
        <v>52</v>
      </c>
      <c r="G379" s="17">
        <f t="shared" si="16"/>
        <v>23</v>
      </c>
      <c r="H379" s="17">
        <f t="shared" si="17"/>
        <v>592.62360000000001</v>
      </c>
      <c r="I379" s="17">
        <v>23</v>
      </c>
      <c r="J379" s="17">
        <v>592.62360000000001</v>
      </c>
      <c r="K379" s="17">
        <v>46</v>
      </c>
      <c r="L379" s="17">
        <v>1975.412</v>
      </c>
      <c r="M379" s="346">
        <v>0.5</v>
      </c>
      <c r="N379" s="17">
        <v>3</v>
      </c>
      <c r="O379" s="346">
        <v>0.3</v>
      </c>
      <c r="P379" s="17">
        <v>5</v>
      </c>
    </row>
    <row r="380" spans="1:16">
      <c r="A380" s="10">
        <f t="shared" ca="1" si="15"/>
        <v>380</v>
      </c>
      <c r="B380" s="65" t="s">
        <v>1941</v>
      </c>
      <c r="C380" s="350" t="s">
        <v>2328</v>
      </c>
      <c r="D380" s="10" t="s">
        <v>48</v>
      </c>
      <c r="E380" s="350" t="s">
        <v>2274</v>
      </c>
      <c r="F380" s="352">
        <v>25</v>
      </c>
      <c r="G380" s="17">
        <f t="shared" si="16"/>
        <v>5.7959999999999994</v>
      </c>
      <c r="H380" s="17">
        <f t="shared" si="17"/>
        <v>89.987351999999987</v>
      </c>
      <c r="I380" s="17">
        <v>5.7959999999999994</v>
      </c>
      <c r="J380" s="17">
        <v>89.987351999999987</v>
      </c>
      <c r="K380" s="17">
        <v>13.799999999999999</v>
      </c>
      <c r="L380" s="17">
        <v>257.10672</v>
      </c>
      <c r="M380" s="346">
        <v>0.6</v>
      </c>
      <c r="N380" s="17">
        <v>6</v>
      </c>
      <c r="O380" s="346">
        <v>0.5</v>
      </c>
      <c r="P380" s="17">
        <v>8</v>
      </c>
    </row>
    <row r="381" spans="1:16">
      <c r="A381" s="10">
        <f t="shared" ca="1" si="15"/>
        <v>381</v>
      </c>
      <c r="B381" s="350" t="s">
        <v>58</v>
      </c>
      <c r="C381" s="350" t="s">
        <v>2329</v>
      </c>
      <c r="D381" s="10" t="s">
        <v>48</v>
      </c>
      <c r="E381" s="350" t="s">
        <v>2275</v>
      </c>
      <c r="F381" s="350">
        <v>23</v>
      </c>
      <c r="G381" s="17">
        <f t="shared" si="16"/>
        <v>23.94</v>
      </c>
      <c r="H381" s="17">
        <f t="shared" si="17"/>
        <v>146.34795000000003</v>
      </c>
      <c r="I381" s="17">
        <v>23.94</v>
      </c>
      <c r="J381" s="17">
        <v>146.34795000000003</v>
      </c>
      <c r="K381" s="17">
        <v>42.75</v>
      </c>
      <c r="L381" s="17">
        <v>696.89500000000021</v>
      </c>
      <c r="M381" s="346">
        <v>0.8</v>
      </c>
      <c r="N381" s="17">
        <v>5</v>
      </c>
      <c r="O381" s="346">
        <v>0.3</v>
      </c>
      <c r="P381" s="17">
        <v>7</v>
      </c>
    </row>
    <row r="382" spans="1:16">
      <c r="A382" s="10">
        <f t="shared" ca="1" si="15"/>
        <v>382</v>
      </c>
      <c r="B382" s="65" t="s">
        <v>225</v>
      </c>
      <c r="C382" s="350" t="s">
        <v>2276</v>
      </c>
      <c r="D382" s="10" t="s">
        <v>53</v>
      </c>
      <c r="E382" s="351" t="s">
        <v>2277</v>
      </c>
      <c r="F382" s="352">
        <v>30</v>
      </c>
      <c r="G382" s="17">
        <f t="shared" si="16"/>
        <v>125.99999999999999</v>
      </c>
      <c r="H382" s="17">
        <f t="shared" si="17"/>
        <v>541.37475000000006</v>
      </c>
      <c r="I382" s="17">
        <v>125.99999999999999</v>
      </c>
      <c r="J382" s="17">
        <v>541.37475000000006</v>
      </c>
      <c r="K382" s="17">
        <v>360</v>
      </c>
      <c r="L382" s="17">
        <v>1546.7850000000003</v>
      </c>
      <c r="M382" s="346">
        <v>0.5</v>
      </c>
      <c r="N382" s="17">
        <v>5</v>
      </c>
      <c r="O382" s="346">
        <v>0.5</v>
      </c>
      <c r="P382" s="17">
        <v>7</v>
      </c>
    </row>
    <row r="383" spans="1:16">
      <c r="A383" s="10">
        <f t="shared" ca="1" si="15"/>
        <v>384</v>
      </c>
      <c r="B383" s="65" t="s">
        <v>219</v>
      </c>
      <c r="C383" s="350" t="s">
        <v>2080</v>
      </c>
      <c r="D383" s="10" t="s">
        <v>37</v>
      </c>
      <c r="E383" s="351" t="s">
        <v>2081</v>
      </c>
      <c r="F383" s="352">
        <v>21</v>
      </c>
      <c r="G383" s="17">
        <f t="shared" si="16"/>
        <v>3779.9999999999995</v>
      </c>
      <c r="H383" s="17">
        <f t="shared" si="17"/>
        <v>10080</v>
      </c>
      <c r="I383" s="17">
        <v>3779.9999999999995</v>
      </c>
      <c r="J383" s="17">
        <v>10080</v>
      </c>
      <c r="K383" s="17">
        <v>18000</v>
      </c>
      <c r="L383" s="17">
        <v>72000</v>
      </c>
      <c r="M383" s="346">
        <v>0.3</v>
      </c>
      <c r="N383" s="17">
        <v>3</v>
      </c>
      <c r="O383" s="346">
        <v>0.2</v>
      </c>
      <c r="P383" s="17">
        <v>3</v>
      </c>
    </row>
    <row r="384" spans="1:16">
      <c r="A384" s="10" t="str">
        <f t="shared" ca="1" si="15"/>
        <v/>
      </c>
      <c r="B384" s="65" t="s">
        <v>219</v>
      </c>
      <c r="C384" s="350" t="s">
        <v>869</v>
      </c>
      <c r="D384" s="10" t="s">
        <v>37</v>
      </c>
      <c r="E384" s="351" t="s">
        <v>578</v>
      </c>
      <c r="F384" s="352">
        <v>30</v>
      </c>
      <c r="G384" s="17">
        <f t="shared" si="16"/>
        <v>7559.9999999999991</v>
      </c>
      <c r="H384" s="17">
        <f t="shared" si="17"/>
        <v>20160</v>
      </c>
      <c r="I384" s="17">
        <v>7559.9999999999991</v>
      </c>
      <c r="J384" s="17">
        <v>20160</v>
      </c>
      <c r="K384" s="17">
        <v>18000</v>
      </c>
      <c r="L384" s="17">
        <v>72000</v>
      </c>
      <c r="M384" s="346">
        <v>0.6</v>
      </c>
      <c r="N384" s="17">
        <v>3</v>
      </c>
      <c r="O384" s="346">
        <v>0.4</v>
      </c>
      <c r="P384" s="17">
        <v>3</v>
      </c>
    </row>
    <row r="385" spans="1:16">
      <c r="A385" s="10">
        <f t="shared" ca="1" si="15"/>
        <v>385</v>
      </c>
      <c r="B385" s="65" t="s">
        <v>2124</v>
      </c>
      <c r="C385" s="350" t="s">
        <v>2278</v>
      </c>
      <c r="D385" s="10" t="s">
        <v>53</v>
      </c>
      <c r="E385" s="351" t="s">
        <v>2279</v>
      </c>
      <c r="F385" s="352">
        <v>54</v>
      </c>
      <c r="G385" s="17">
        <f t="shared" si="16"/>
        <v>0.16200000000000001</v>
      </c>
      <c r="H385" s="17">
        <f t="shared" si="17"/>
        <v>1.4080000000000004</v>
      </c>
      <c r="I385" s="17">
        <v>0.16200000000000001</v>
      </c>
      <c r="J385" s="17">
        <v>1.4080000000000004</v>
      </c>
      <c r="K385" s="17">
        <v>0.18</v>
      </c>
      <c r="L385" s="17">
        <v>3.5200000000000005</v>
      </c>
      <c r="M385" s="346">
        <v>0.9</v>
      </c>
      <c r="N385" s="17">
        <v>3</v>
      </c>
      <c r="O385" s="346">
        <v>0.4</v>
      </c>
      <c r="P385" s="17">
        <v>3</v>
      </c>
    </row>
    <row r="386" spans="1:16">
      <c r="A386" s="10">
        <f t="shared" ref="A386:A449" ca="1" si="18">IF(B385=B386,"",ROW(A386)-1+MATCH(B386,INDIRECT("B"&amp;ROW(A386)&amp;":"&amp;"B"&amp;$A$1),1))</f>
        <v>386</v>
      </c>
      <c r="B386" s="65" t="s">
        <v>2123</v>
      </c>
      <c r="C386" s="350" t="s">
        <v>2280</v>
      </c>
      <c r="D386" s="10" t="s">
        <v>36</v>
      </c>
      <c r="E386" s="351" t="s">
        <v>2281</v>
      </c>
      <c r="F386" s="352">
        <v>29</v>
      </c>
      <c r="G386" s="17">
        <f t="shared" ref="G386:G449" si="19">IF($R$2=1,K386,I386)</f>
        <v>0.76500000000000001</v>
      </c>
      <c r="H386" s="17">
        <f t="shared" ref="H386:H449" si="20">IF($R$2=1,L386,J386)</f>
        <v>3.4681700000000002</v>
      </c>
      <c r="I386" s="17">
        <v>0.76500000000000001</v>
      </c>
      <c r="J386" s="17">
        <v>3.4681700000000002</v>
      </c>
      <c r="K386" s="17">
        <v>1</v>
      </c>
      <c r="L386" s="17">
        <v>10.2005</v>
      </c>
      <c r="M386" s="346">
        <v>0.9</v>
      </c>
      <c r="N386" s="17">
        <v>3</v>
      </c>
      <c r="O386" s="346">
        <v>0.4</v>
      </c>
      <c r="P386" s="17">
        <v>3</v>
      </c>
    </row>
    <row r="387" spans="1:16">
      <c r="A387" s="10">
        <f t="shared" ca="1" si="18"/>
        <v>387</v>
      </c>
      <c r="B387" s="65" t="s">
        <v>1939</v>
      </c>
      <c r="C387" s="350" t="s">
        <v>2082</v>
      </c>
      <c r="D387" s="10" t="s">
        <v>37</v>
      </c>
      <c r="E387" s="351" t="s">
        <v>2083</v>
      </c>
      <c r="F387" s="352">
        <v>42</v>
      </c>
      <c r="G387" s="17">
        <f t="shared" si="19"/>
        <v>28.574400000000004</v>
      </c>
      <c r="H387" s="17">
        <f t="shared" si="20"/>
        <v>1446.2099999999998</v>
      </c>
      <c r="I387" s="17">
        <v>28.574400000000004</v>
      </c>
      <c r="J387" s="17">
        <v>1446.2099999999998</v>
      </c>
      <c r="K387" s="17">
        <v>142.87200000000001</v>
      </c>
      <c r="L387" s="17">
        <v>4820.7</v>
      </c>
      <c r="M387" s="346">
        <v>0.2</v>
      </c>
      <c r="N387" s="17">
        <v>5</v>
      </c>
      <c r="O387" s="346">
        <v>0.3</v>
      </c>
      <c r="P387" s="17">
        <v>7</v>
      </c>
    </row>
    <row r="388" spans="1:16">
      <c r="A388" s="10">
        <f t="shared" ca="1" si="18"/>
        <v>389</v>
      </c>
      <c r="B388" s="65" t="s">
        <v>472</v>
      </c>
      <c r="C388" s="350" t="s">
        <v>870</v>
      </c>
      <c r="D388" s="10" t="s">
        <v>50</v>
      </c>
      <c r="E388" s="350" t="s">
        <v>654</v>
      </c>
      <c r="F388" s="352">
        <v>22</v>
      </c>
      <c r="G388" s="17">
        <f t="shared" si="19"/>
        <v>17.871570000000002</v>
      </c>
      <c r="H388" s="17">
        <f t="shared" si="20"/>
        <v>159.47757000000004</v>
      </c>
      <c r="I388" s="17">
        <v>17.871570000000002</v>
      </c>
      <c r="J388" s="17">
        <v>159.47757000000004</v>
      </c>
      <c r="K388" s="17">
        <v>39.714600000000004</v>
      </c>
      <c r="L388" s="17">
        <v>354.39460000000008</v>
      </c>
      <c r="M388" s="346">
        <v>0.9</v>
      </c>
      <c r="N388" s="17">
        <v>3</v>
      </c>
      <c r="O388" s="346">
        <v>0.9</v>
      </c>
      <c r="P388" s="17">
        <v>3</v>
      </c>
    </row>
    <row r="389" spans="1:16">
      <c r="A389" s="10" t="str">
        <f t="shared" ca="1" si="18"/>
        <v/>
      </c>
      <c r="B389" s="65" t="s">
        <v>472</v>
      </c>
      <c r="C389" s="350" t="s">
        <v>871</v>
      </c>
      <c r="D389" s="10" t="s">
        <v>50</v>
      </c>
      <c r="E389" s="351" t="s">
        <v>579</v>
      </c>
      <c r="F389" s="352">
        <v>25</v>
      </c>
      <c r="G389" s="17">
        <f t="shared" si="19"/>
        <v>250.20197999999999</v>
      </c>
      <c r="H389" s="17">
        <f t="shared" si="20"/>
        <v>2232.6859800000002</v>
      </c>
      <c r="I389" s="17">
        <v>250.20197999999999</v>
      </c>
      <c r="J389" s="17">
        <v>2232.6859800000002</v>
      </c>
      <c r="K389" s="17">
        <v>397.14600000000002</v>
      </c>
      <c r="L389" s="17">
        <v>3543.9460000000004</v>
      </c>
      <c r="M389" s="346">
        <v>0.9</v>
      </c>
      <c r="N389" s="17">
        <v>3</v>
      </c>
      <c r="O389" s="346">
        <v>0.9</v>
      </c>
      <c r="P389" s="17">
        <v>3</v>
      </c>
    </row>
    <row r="390" spans="1:16">
      <c r="A390" s="10">
        <f t="shared" ca="1" si="18"/>
        <v>390</v>
      </c>
      <c r="B390" s="65" t="s">
        <v>473</v>
      </c>
      <c r="C390" s="350" t="s">
        <v>872</v>
      </c>
      <c r="D390" s="10" t="s">
        <v>49</v>
      </c>
      <c r="E390" s="351" t="s">
        <v>580</v>
      </c>
      <c r="F390" s="352">
        <v>30</v>
      </c>
      <c r="G390" s="17">
        <f t="shared" si="19"/>
        <v>84</v>
      </c>
      <c r="H390" s="17">
        <f t="shared" si="20"/>
        <v>3511.9314999999997</v>
      </c>
      <c r="I390" s="17">
        <v>84</v>
      </c>
      <c r="J390" s="17">
        <v>3511.9314999999997</v>
      </c>
      <c r="K390" s="17">
        <v>240</v>
      </c>
      <c r="L390" s="17">
        <v>10034.09</v>
      </c>
      <c r="M390" s="346">
        <v>0.5</v>
      </c>
      <c r="N390" s="17">
        <v>7</v>
      </c>
      <c r="O390" s="346">
        <v>0.5</v>
      </c>
      <c r="P390" s="17">
        <v>7</v>
      </c>
    </row>
    <row r="391" spans="1:16">
      <c r="A391" s="10">
        <f t="shared" ca="1" si="18"/>
        <v>391</v>
      </c>
      <c r="B391" s="350" t="s">
        <v>474</v>
      </c>
      <c r="C391" s="350" t="s">
        <v>873</v>
      </c>
      <c r="D391" s="10" t="s">
        <v>53</v>
      </c>
      <c r="E391" s="350" t="s">
        <v>581</v>
      </c>
      <c r="F391" s="350">
        <v>63</v>
      </c>
      <c r="G391" s="17">
        <f t="shared" si="19"/>
        <v>3.5</v>
      </c>
      <c r="H391" s="17">
        <f t="shared" si="20"/>
        <v>405</v>
      </c>
      <c r="I391" s="17">
        <v>3.5</v>
      </c>
      <c r="J391" s="17">
        <v>405</v>
      </c>
      <c r="K391" s="17">
        <v>5</v>
      </c>
      <c r="L391" s="17">
        <v>675</v>
      </c>
      <c r="M391" s="346">
        <v>0.7</v>
      </c>
      <c r="N391" s="17">
        <v>3</v>
      </c>
      <c r="O391" s="346">
        <v>0.6</v>
      </c>
      <c r="P391" s="17">
        <v>4</v>
      </c>
    </row>
    <row r="392" spans="1:16">
      <c r="A392" s="10">
        <f t="shared" ca="1" si="18"/>
        <v>395</v>
      </c>
      <c r="B392" s="65" t="s">
        <v>215</v>
      </c>
      <c r="C392" s="350" t="s">
        <v>874</v>
      </c>
      <c r="D392" s="10" t="s">
        <v>52</v>
      </c>
      <c r="E392" s="350" t="s">
        <v>583</v>
      </c>
      <c r="F392" s="352">
        <v>43</v>
      </c>
      <c r="G392" s="17">
        <f t="shared" si="19"/>
        <v>11.339999999999998</v>
      </c>
      <c r="H392" s="17">
        <f t="shared" si="20"/>
        <v>314.89920000000006</v>
      </c>
      <c r="I392" s="17">
        <v>11.339999999999998</v>
      </c>
      <c r="J392" s="17">
        <v>314.89920000000006</v>
      </c>
      <c r="K392" s="17">
        <v>18.899999999999999</v>
      </c>
      <c r="L392" s="17">
        <v>393.62400000000002</v>
      </c>
      <c r="M392" s="346">
        <v>0.6</v>
      </c>
      <c r="N392" s="17">
        <v>5</v>
      </c>
      <c r="O392" s="346">
        <v>0.8</v>
      </c>
      <c r="P392" s="17">
        <v>7</v>
      </c>
    </row>
    <row r="393" spans="1:16">
      <c r="A393" s="10" t="str">
        <f t="shared" ca="1" si="18"/>
        <v/>
      </c>
      <c r="B393" s="65" t="s">
        <v>215</v>
      </c>
      <c r="C393" s="350" t="s">
        <v>2084</v>
      </c>
      <c r="D393" s="10" t="s">
        <v>52</v>
      </c>
      <c r="E393" s="351" t="s">
        <v>2085</v>
      </c>
      <c r="F393" s="352">
        <v>75</v>
      </c>
      <c r="G393" s="17">
        <f t="shared" si="19"/>
        <v>11.339999999999998</v>
      </c>
      <c r="H393" s="17">
        <f t="shared" si="20"/>
        <v>314.89920000000006</v>
      </c>
      <c r="I393" s="17">
        <v>11.339999999999998</v>
      </c>
      <c r="J393" s="17">
        <v>314.89920000000006</v>
      </c>
      <c r="K393" s="17">
        <v>18.899999999999999</v>
      </c>
      <c r="L393" s="17">
        <v>393.62400000000002</v>
      </c>
      <c r="M393" s="346">
        <v>0.6</v>
      </c>
      <c r="N393" s="17">
        <v>5</v>
      </c>
      <c r="O393" s="346">
        <v>0.8</v>
      </c>
      <c r="P393" s="17">
        <v>7</v>
      </c>
    </row>
    <row r="394" spans="1:16">
      <c r="A394" s="10" t="str">
        <f t="shared" ca="1" si="18"/>
        <v/>
      </c>
      <c r="B394" s="65" t="s">
        <v>215</v>
      </c>
      <c r="C394" s="350" t="s">
        <v>2282</v>
      </c>
      <c r="D394" s="10" t="s">
        <v>52</v>
      </c>
      <c r="E394" s="351" t="s">
        <v>2283</v>
      </c>
      <c r="F394" s="352">
        <v>78</v>
      </c>
      <c r="G394" s="17">
        <f t="shared" si="19"/>
        <v>1.08</v>
      </c>
      <c r="H394" s="17">
        <f t="shared" si="20"/>
        <v>29.990400000000001</v>
      </c>
      <c r="I394" s="17">
        <v>1.08</v>
      </c>
      <c r="J394" s="17">
        <v>29.990400000000001</v>
      </c>
      <c r="K394" s="17">
        <v>1.8</v>
      </c>
      <c r="L394" s="17">
        <v>37.488</v>
      </c>
      <c r="M394" s="346">
        <v>0.6</v>
      </c>
      <c r="N394" s="17">
        <v>5</v>
      </c>
      <c r="O394" s="346">
        <v>0.8</v>
      </c>
      <c r="P394" s="17">
        <v>7</v>
      </c>
    </row>
    <row r="395" spans="1:16">
      <c r="A395" s="10" t="str">
        <f t="shared" ca="1" si="18"/>
        <v/>
      </c>
      <c r="B395" s="65" t="s">
        <v>215</v>
      </c>
      <c r="C395" s="350" t="s">
        <v>875</v>
      </c>
      <c r="D395" s="10" t="s">
        <v>52</v>
      </c>
      <c r="E395" s="351" t="s">
        <v>584</v>
      </c>
      <c r="F395" s="352">
        <v>72</v>
      </c>
      <c r="G395" s="17">
        <f t="shared" si="19"/>
        <v>8.64</v>
      </c>
      <c r="H395" s="17">
        <f t="shared" si="20"/>
        <v>239.92320000000001</v>
      </c>
      <c r="I395" s="17">
        <v>8.64</v>
      </c>
      <c r="J395" s="17">
        <v>239.92320000000001</v>
      </c>
      <c r="K395" s="17">
        <v>14.4</v>
      </c>
      <c r="L395" s="17">
        <v>299.904</v>
      </c>
      <c r="M395" s="346">
        <v>0.6</v>
      </c>
      <c r="N395" s="17">
        <v>5</v>
      </c>
      <c r="O395" s="346">
        <v>0.8</v>
      </c>
      <c r="P395" s="17">
        <v>7</v>
      </c>
    </row>
    <row r="396" spans="1:16">
      <c r="A396" s="10">
        <f t="shared" ca="1" si="18"/>
        <v>397</v>
      </c>
      <c r="B396" s="65" t="s">
        <v>59</v>
      </c>
      <c r="C396" s="350" t="s">
        <v>876</v>
      </c>
      <c r="D396" s="10" t="s">
        <v>52</v>
      </c>
      <c r="E396" s="351" t="s">
        <v>662</v>
      </c>
      <c r="F396" s="352">
        <v>72</v>
      </c>
      <c r="G396" s="17">
        <f t="shared" si="19"/>
        <v>8.1</v>
      </c>
      <c r="H396" s="17">
        <f t="shared" si="20"/>
        <v>224.92800000000003</v>
      </c>
      <c r="I396" s="17">
        <v>8.1</v>
      </c>
      <c r="J396" s="17">
        <v>224.92800000000003</v>
      </c>
      <c r="K396" s="17">
        <v>13.5</v>
      </c>
      <c r="L396" s="17">
        <v>281.16000000000003</v>
      </c>
      <c r="M396" s="346">
        <v>0.6</v>
      </c>
      <c r="N396" s="17">
        <v>5</v>
      </c>
      <c r="O396" s="346">
        <v>0.8</v>
      </c>
      <c r="P396" s="17">
        <v>7</v>
      </c>
    </row>
    <row r="397" spans="1:16">
      <c r="A397" s="10" t="str">
        <f t="shared" ca="1" si="18"/>
        <v/>
      </c>
      <c r="B397" s="65" t="s">
        <v>59</v>
      </c>
      <c r="C397" s="350" t="s">
        <v>877</v>
      </c>
      <c r="D397" s="10" t="s">
        <v>52</v>
      </c>
      <c r="E397" s="351" t="s">
        <v>585</v>
      </c>
      <c r="F397" s="352">
        <v>72</v>
      </c>
      <c r="G397" s="17">
        <f t="shared" si="19"/>
        <v>54</v>
      </c>
      <c r="H397" s="17">
        <f t="shared" si="20"/>
        <v>1499.5200000000002</v>
      </c>
      <c r="I397" s="17">
        <v>54</v>
      </c>
      <c r="J397" s="17">
        <v>1499.5200000000002</v>
      </c>
      <c r="K397" s="17">
        <v>90</v>
      </c>
      <c r="L397" s="17">
        <v>1874.4</v>
      </c>
      <c r="M397" s="346">
        <v>0.6</v>
      </c>
      <c r="N397" s="17">
        <v>5</v>
      </c>
      <c r="O397" s="346">
        <v>0.8</v>
      </c>
      <c r="P397" s="17">
        <v>7</v>
      </c>
    </row>
    <row r="398" spans="1:16">
      <c r="A398" s="10">
        <f t="shared" ca="1" si="18"/>
        <v>398</v>
      </c>
      <c r="B398" s="350" t="s">
        <v>2120</v>
      </c>
      <c r="C398" s="350" t="s">
        <v>2284</v>
      </c>
      <c r="D398" s="10" t="s">
        <v>49</v>
      </c>
      <c r="E398" s="350" t="s">
        <v>586</v>
      </c>
      <c r="F398" s="350">
        <v>52</v>
      </c>
      <c r="G398" s="17">
        <f t="shared" si="19"/>
        <v>0.19599999999999998</v>
      </c>
      <c r="H398" s="17">
        <f t="shared" si="20"/>
        <v>1.9418220000000002</v>
      </c>
      <c r="I398" s="17">
        <v>0.19599999999999998</v>
      </c>
      <c r="J398" s="17">
        <v>1.9418220000000002</v>
      </c>
      <c r="K398" s="17">
        <v>0.27999999999999997</v>
      </c>
      <c r="L398" s="17">
        <v>6.4727400000000008</v>
      </c>
      <c r="M398" s="346">
        <v>0.7</v>
      </c>
      <c r="N398" s="17">
        <v>3</v>
      </c>
      <c r="O398" s="346">
        <v>0.3</v>
      </c>
      <c r="P398" s="17">
        <v>5</v>
      </c>
    </row>
    <row r="399" spans="1:16">
      <c r="A399" s="10">
        <f t="shared" ca="1" si="18"/>
        <v>399</v>
      </c>
      <c r="B399" s="350" t="s">
        <v>635</v>
      </c>
      <c r="C399" s="350" t="s">
        <v>878</v>
      </c>
      <c r="D399" s="10" t="s">
        <v>51</v>
      </c>
      <c r="E399" s="350" t="s">
        <v>663</v>
      </c>
      <c r="F399" s="350">
        <v>20</v>
      </c>
      <c r="G399" s="17">
        <f t="shared" si="19"/>
        <v>39.69</v>
      </c>
      <c r="H399" s="17">
        <f t="shared" si="20"/>
        <v>4.4742599999999992</v>
      </c>
      <c r="I399" s="17">
        <v>39.69</v>
      </c>
      <c r="J399" s="17">
        <v>4.4742599999999992</v>
      </c>
      <c r="K399" s="17">
        <v>63</v>
      </c>
      <c r="L399" s="17">
        <v>21.306000000000001</v>
      </c>
      <c r="M399" s="346">
        <v>0.9</v>
      </c>
      <c r="N399" s="17">
        <v>2</v>
      </c>
      <c r="O399" s="346">
        <v>0.3</v>
      </c>
      <c r="P399" s="17">
        <v>3</v>
      </c>
    </row>
    <row r="400" spans="1:16">
      <c r="A400" s="10">
        <f t="shared" ca="1" si="18"/>
        <v>400</v>
      </c>
      <c r="B400" s="350" t="s">
        <v>60</v>
      </c>
      <c r="C400" s="350" t="s">
        <v>879</v>
      </c>
      <c r="D400" s="10" t="s">
        <v>51</v>
      </c>
      <c r="E400" s="350" t="s">
        <v>587</v>
      </c>
      <c r="F400" s="350">
        <v>54</v>
      </c>
      <c r="G400" s="17">
        <f t="shared" si="19"/>
        <v>81</v>
      </c>
      <c r="H400" s="17">
        <f t="shared" si="20"/>
        <v>411.7602</v>
      </c>
      <c r="I400" s="17">
        <v>81</v>
      </c>
      <c r="J400" s="17">
        <v>411.7602</v>
      </c>
      <c r="K400" s="17">
        <v>90</v>
      </c>
      <c r="L400" s="17">
        <v>1372.5340000000001</v>
      </c>
      <c r="M400" s="346">
        <v>0.9</v>
      </c>
      <c r="N400" s="17">
        <v>2</v>
      </c>
      <c r="O400" s="346">
        <v>0.3</v>
      </c>
      <c r="P400" s="17">
        <v>3</v>
      </c>
    </row>
    <row r="401" spans="1:16">
      <c r="A401" s="10">
        <f t="shared" ca="1" si="18"/>
        <v>401</v>
      </c>
      <c r="B401" s="65" t="s">
        <v>232</v>
      </c>
      <c r="C401" s="350" t="s">
        <v>880</v>
      </c>
      <c r="D401" s="10" t="s">
        <v>52</v>
      </c>
      <c r="E401" s="350" t="s">
        <v>664</v>
      </c>
      <c r="F401" s="352">
        <v>25</v>
      </c>
      <c r="G401" s="17">
        <f t="shared" si="19"/>
        <v>14000</v>
      </c>
      <c r="H401" s="17">
        <f t="shared" si="20"/>
        <v>227996.57999999996</v>
      </c>
      <c r="I401" s="17">
        <v>14000</v>
      </c>
      <c r="J401" s="17">
        <v>227996.57999999996</v>
      </c>
      <c r="K401" s="17">
        <v>25000</v>
      </c>
      <c r="L401" s="17">
        <v>1085698</v>
      </c>
      <c r="M401" s="346">
        <v>0.8</v>
      </c>
      <c r="N401" s="17">
        <v>4</v>
      </c>
      <c r="O401" s="346">
        <v>0.3</v>
      </c>
      <c r="P401" s="17">
        <v>6</v>
      </c>
    </row>
    <row r="402" spans="1:16">
      <c r="A402" s="10">
        <f t="shared" ca="1" si="18"/>
        <v>404</v>
      </c>
      <c r="B402" s="65" t="s">
        <v>237</v>
      </c>
      <c r="C402" s="350" t="s">
        <v>881</v>
      </c>
      <c r="D402" s="10" t="s">
        <v>52</v>
      </c>
      <c r="E402" s="350" t="s">
        <v>603</v>
      </c>
      <c r="F402" s="352">
        <v>22</v>
      </c>
      <c r="G402" s="17">
        <f t="shared" si="19"/>
        <v>16000</v>
      </c>
      <c r="H402" s="17">
        <f t="shared" si="20"/>
        <v>154125</v>
      </c>
      <c r="I402" s="17">
        <v>16000</v>
      </c>
      <c r="J402" s="17">
        <v>154125</v>
      </c>
      <c r="K402" s="17">
        <v>40000</v>
      </c>
      <c r="L402" s="17">
        <v>513750</v>
      </c>
      <c r="M402" s="346">
        <v>0.8</v>
      </c>
      <c r="N402" s="17">
        <v>5</v>
      </c>
      <c r="O402" s="346">
        <v>0.6</v>
      </c>
      <c r="P402" s="17">
        <v>10</v>
      </c>
    </row>
    <row r="403" spans="1:16">
      <c r="A403" s="10" t="str">
        <f t="shared" ca="1" si="18"/>
        <v/>
      </c>
      <c r="B403" s="65" t="s">
        <v>237</v>
      </c>
      <c r="C403" s="350" t="s">
        <v>882</v>
      </c>
      <c r="D403" s="10" t="s">
        <v>52</v>
      </c>
      <c r="E403" s="355" t="s">
        <v>588</v>
      </c>
      <c r="F403" s="352">
        <v>28</v>
      </c>
      <c r="G403" s="17">
        <f t="shared" si="19"/>
        <v>27200</v>
      </c>
      <c r="H403" s="17">
        <f t="shared" si="20"/>
        <v>262012.5</v>
      </c>
      <c r="I403" s="17">
        <v>27200</v>
      </c>
      <c r="J403" s="17">
        <v>262012.5</v>
      </c>
      <c r="K403" s="17">
        <v>40000</v>
      </c>
      <c r="L403" s="17">
        <v>513750</v>
      </c>
      <c r="M403" s="346">
        <v>0.8</v>
      </c>
      <c r="N403" s="17">
        <v>5</v>
      </c>
      <c r="O403" s="346">
        <v>0.6</v>
      </c>
      <c r="P403" s="17">
        <v>10</v>
      </c>
    </row>
    <row r="404" spans="1:16">
      <c r="A404" s="10" t="str">
        <f t="shared" ca="1" si="18"/>
        <v/>
      </c>
      <c r="B404" s="65" t="s">
        <v>237</v>
      </c>
      <c r="C404" s="350" t="s">
        <v>2285</v>
      </c>
      <c r="D404" s="10" t="s">
        <v>52</v>
      </c>
      <c r="E404" s="351" t="s">
        <v>2286</v>
      </c>
      <c r="F404" s="352">
        <v>30</v>
      </c>
      <c r="G404" s="17">
        <f t="shared" si="19"/>
        <v>22400</v>
      </c>
      <c r="H404" s="17">
        <f t="shared" si="20"/>
        <v>215775</v>
      </c>
      <c r="I404" s="17">
        <v>22400</v>
      </c>
      <c r="J404" s="17">
        <v>215775</v>
      </c>
      <c r="K404" s="17">
        <v>40000</v>
      </c>
      <c r="L404" s="17">
        <v>513750</v>
      </c>
      <c r="M404" s="346">
        <v>0.8</v>
      </c>
      <c r="N404" s="17">
        <v>5</v>
      </c>
      <c r="O404" s="346">
        <v>0.6</v>
      </c>
      <c r="P404" s="17">
        <v>10</v>
      </c>
    </row>
    <row r="405" spans="1:16">
      <c r="A405" s="10">
        <f t="shared" ca="1" si="18"/>
        <v>405</v>
      </c>
      <c r="B405" s="65" t="s">
        <v>2130</v>
      </c>
      <c r="C405" s="350" t="s">
        <v>2287</v>
      </c>
      <c r="D405" s="10" t="s">
        <v>52</v>
      </c>
      <c r="E405" s="351" t="s">
        <v>603</v>
      </c>
      <c r="F405" s="352">
        <v>28</v>
      </c>
      <c r="G405" s="17">
        <f t="shared" si="19"/>
        <v>27200</v>
      </c>
      <c r="H405" s="17">
        <f t="shared" si="20"/>
        <v>235237.5</v>
      </c>
      <c r="I405" s="17">
        <v>27200</v>
      </c>
      <c r="J405" s="17">
        <v>235237.5</v>
      </c>
      <c r="K405" s="17">
        <v>40000</v>
      </c>
      <c r="L405" s="17">
        <v>461250</v>
      </c>
      <c r="M405" s="346">
        <v>0.8</v>
      </c>
      <c r="N405" s="17">
        <v>5</v>
      </c>
      <c r="O405" s="346">
        <v>0.6</v>
      </c>
      <c r="P405" s="17">
        <v>10</v>
      </c>
    </row>
    <row r="406" spans="1:16">
      <c r="A406" s="10">
        <f t="shared" ca="1" si="18"/>
        <v>406</v>
      </c>
      <c r="B406" s="65" t="s">
        <v>2138</v>
      </c>
      <c r="C406" s="350" t="s">
        <v>2288</v>
      </c>
      <c r="D406" s="10" t="s">
        <v>52</v>
      </c>
      <c r="E406" s="350" t="s">
        <v>603</v>
      </c>
      <c r="F406" s="352">
        <v>28</v>
      </c>
      <c r="G406" s="17">
        <f t="shared" si="19"/>
        <v>27200</v>
      </c>
      <c r="H406" s="17">
        <f t="shared" si="20"/>
        <v>235237.5</v>
      </c>
      <c r="I406" s="17">
        <v>27200</v>
      </c>
      <c r="J406" s="17">
        <v>235237.5</v>
      </c>
      <c r="K406" s="17">
        <v>40000</v>
      </c>
      <c r="L406" s="17">
        <v>461250</v>
      </c>
      <c r="M406" s="346">
        <v>0.8</v>
      </c>
      <c r="N406" s="17">
        <v>5</v>
      </c>
      <c r="O406" s="346">
        <v>0.6</v>
      </c>
      <c r="P406" s="17">
        <v>10</v>
      </c>
    </row>
    <row r="407" spans="1:16">
      <c r="A407" s="10">
        <f t="shared" ca="1" si="18"/>
        <v>409</v>
      </c>
      <c r="B407" s="65" t="s">
        <v>638</v>
      </c>
      <c r="C407" s="350" t="s">
        <v>883</v>
      </c>
      <c r="D407" s="10" t="s">
        <v>52</v>
      </c>
      <c r="E407" s="351" t="s">
        <v>665</v>
      </c>
      <c r="F407" s="352">
        <v>72</v>
      </c>
      <c r="G407" s="17">
        <f t="shared" si="19"/>
        <v>209.50649999999996</v>
      </c>
      <c r="H407" s="17">
        <f t="shared" si="20"/>
        <v>1848.3400000000001</v>
      </c>
      <c r="I407" s="17">
        <v>209.50649999999996</v>
      </c>
      <c r="J407" s="17">
        <v>1848.3400000000001</v>
      </c>
      <c r="K407" s="17">
        <v>299.29499999999996</v>
      </c>
      <c r="L407" s="17">
        <v>3696.6800000000003</v>
      </c>
      <c r="M407" s="346">
        <v>0.7</v>
      </c>
      <c r="N407" s="17">
        <v>3</v>
      </c>
      <c r="O407" s="346">
        <v>0.5</v>
      </c>
      <c r="P407" s="17">
        <v>4</v>
      </c>
    </row>
    <row r="408" spans="1:16">
      <c r="A408" s="10" t="str">
        <f t="shared" ca="1" si="18"/>
        <v/>
      </c>
      <c r="B408" s="350" t="s">
        <v>638</v>
      </c>
      <c r="C408" s="350" t="s">
        <v>2289</v>
      </c>
      <c r="D408" s="10" t="s">
        <v>52</v>
      </c>
      <c r="E408" s="350" t="s">
        <v>2093</v>
      </c>
      <c r="F408" s="350">
        <v>72</v>
      </c>
      <c r="G408" s="17">
        <f t="shared" si="19"/>
        <v>209.50649999999996</v>
      </c>
      <c r="H408" s="17">
        <f t="shared" si="20"/>
        <v>1848.3400000000001</v>
      </c>
      <c r="I408" s="17">
        <v>209.50649999999996</v>
      </c>
      <c r="J408" s="17">
        <v>1848.3400000000001</v>
      </c>
      <c r="K408" s="17">
        <v>299.29499999999996</v>
      </c>
      <c r="L408" s="17">
        <v>3696.6800000000003</v>
      </c>
      <c r="M408" s="346">
        <v>0.7</v>
      </c>
      <c r="N408" s="17">
        <v>5</v>
      </c>
      <c r="O408" s="346">
        <v>0.5</v>
      </c>
      <c r="P408" s="17">
        <v>5</v>
      </c>
    </row>
    <row r="409" spans="1:16">
      <c r="A409" s="10" t="str">
        <f t="shared" ca="1" si="18"/>
        <v/>
      </c>
      <c r="B409" s="65" t="s">
        <v>638</v>
      </c>
      <c r="C409" s="350" t="s">
        <v>2290</v>
      </c>
      <c r="D409" s="10" t="s">
        <v>52</v>
      </c>
      <c r="E409" s="351" t="s">
        <v>664</v>
      </c>
      <c r="F409" s="352">
        <v>75</v>
      </c>
      <c r="G409" s="17">
        <f t="shared" si="19"/>
        <v>209.50649999999996</v>
      </c>
      <c r="H409" s="17">
        <f t="shared" si="20"/>
        <v>1848.3400000000001</v>
      </c>
      <c r="I409" s="17">
        <v>209.50649999999996</v>
      </c>
      <c r="J409" s="17">
        <v>1848.3400000000001</v>
      </c>
      <c r="K409" s="17">
        <v>299.29499999999996</v>
      </c>
      <c r="L409" s="17">
        <v>3696.6800000000003</v>
      </c>
      <c r="M409" s="346">
        <v>0.7</v>
      </c>
      <c r="N409" s="17">
        <v>5</v>
      </c>
      <c r="O409" s="346">
        <v>0.5</v>
      </c>
      <c r="P409" s="17">
        <v>5</v>
      </c>
    </row>
    <row r="410" spans="1:16">
      <c r="A410" s="10">
        <f t="shared" ca="1" si="18"/>
        <v>410</v>
      </c>
      <c r="B410" s="65" t="s">
        <v>281</v>
      </c>
      <c r="C410" s="350" t="s">
        <v>884</v>
      </c>
      <c r="D410" s="10" t="s">
        <v>47</v>
      </c>
      <c r="E410" s="353" t="s">
        <v>494</v>
      </c>
      <c r="F410" s="352">
        <v>1</v>
      </c>
      <c r="G410" s="17">
        <f t="shared" si="19"/>
        <v>131.35955922077761</v>
      </c>
      <c r="H410" s="17">
        <f t="shared" si="20"/>
        <v>0</v>
      </c>
      <c r="I410" s="17">
        <v>131.35955922077761</v>
      </c>
      <c r="J410" s="17">
        <v>0</v>
      </c>
      <c r="K410" s="17">
        <v>437.86519740259206</v>
      </c>
      <c r="L410" s="17">
        <v>0</v>
      </c>
      <c r="M410" s="346">
        <v>0.3</v>
      </c>
      <c r="N410" s="17">
        <v>2</v>
      </c>
      <c r="O410" s="346">
        <v>0</v>
      </c>
      <c r="P410" s="17">
        <v>5</v>
      </c>
    </row>
    <row r="411" spans="1:16">
      <c r="A411" s="10">
        <f t="shared" ca="1" si="18"/>
        <v>411</v>
      </c>
      <c r="B411" s="350" t="s">
        <v>2131</v>
      </c>
      <c r="C411" s="350" t="s">
        <v>2291</v>
      </c>
      <c r="D411" s="10" t="s">
        <v>53</v>
      </c>
      <c r="E411" s="350" t="s">
        <v>666</v>
      </c>
      <c r="F411" s="350">
        <v>28</v>
      </c>
      <c r="G411" s="17">
        <f t="shared" si="19"/>
        <v>29.92</v>
      </c>
      <c r="H411" s="17">
        <f t="shared" si="20"/>
        <v>17.535840000000004</v>
      </c>
      <c r="I411" s="17">
        <v>29.92</v>
      </c>
      <c r="J411" s="17">
        <v>17.535840000000004</v>
      </c>
      <c r="K411" s="17">
        <v>44</v>
      </c>
      <c r="L411" s="17">
        <v>68.768000000000015</v>
      </c>
      <c r="M411" s="346">
        <v>0.8</v>
      </c>
      <c r="N411" s="17">
        <v>2</v>
      </c>
      <c r="O411" s="346">
        <v>0.3</v>
      </c>
      <c r="P411" s="17">
        <v>2</v>
      </c>
    </row>
    <row r="412" spans="1:16">
      <c r="A412" s="10">
        <f t="shared" ca="1" si="18"/>
        <v>412</v>
      </c>
      <c r="B412" s="65" t="s">
        <v>2152</v>
      </c>
      <c r="C412" s="350" t="s">
        <v>2292</v>
      </c>
      <c r="D412" s="10" t="s">
        <v>50</v>
      </c>
      <c r="E412" s="351" t="s">
        <v>589</v>
      </c>
      <c r="F412" s="352">
        <v>44</v>
      </c>
      <c r="G412" s="17">
        <f t="shared" si="19"/>
        <v>31.499999999999996</v>
      </c>
      <c r="H412" s="17">
        <f t="shared" si="20"/>
        <v>135.828</v>
      </c>
      <c r="I412" s="17">
        <v>31.499999999999996</v>
      </c>
      <c r="J412" s="17">
        <v>135.828</v>
      </c>
      <c r="K412" s="17">
        <v>45</v>
      </c>
      <c r="L412" s="17">
        <v>452.76000000000005</v>
      </c>
      <c r="M412" s="346">
        <v>0.7</v>
      </c>
      <c r="N412" s="17">
        <v>3</v>
      </c>
      <c r="O412" s="346">
        <v>0.3</v>
      </c>
      <c r="P412" s="17">
        <v>5</v>
      </c>
    </row>
    <row r="413" spans="1:16">
      <c r="A413" s="10">
        <f t="shared" ca="1" si="18"/>
        <v>413</v>
      </c>
      <c r="B413" s="350" t="s">
        <v>2154</v>
      </c>
      <c r="C413" s="350" t="s">
        <v>2293</v>
      </c>
      <c r="D413" s="10" t="s">
        <v>50</v>
      </c>
      <c r="E413" s="350" t="s">
        <v>590</v>
      </c>
      <c r="F413" s="350">
        <v>52</v>
      </c>
      <c r="G413" s="17">
        <f t="shared" si="19"/>
        <v>8.4</v>
      </c>
      <c r="H413" s="17">
        <f t="shared" si="20"/>
        <v>0</v>
      </c>
      <c r="I413" s="17">
        <v>8.4</v>
      </c>
      <c r="J413" s="17">
        <v>0</v>
      </c>
      <c r="K413" s="17">
        <v>10.5</v>
      </c>
      <c r="L413" s="17">
        <v>0</v>
      </c>
      <c r="M413" s="346">
        <v>0.8</v>
      </c>
      <c r="N413" s="17">
        <v>2</v>
      </c>
      <c r="O413" s="346">
        <v>0.6</v>
      </c>
      <c r="P413" s="17">
        <v>4</v>
      </c>
    </row>
    <row r="414" spans="1:16">
      <c r="A414" s="10">
        <f t="shared" ca="1" si="18"/>
        <v>414</v>
      </c>
      <c r="B414" s="350" t="s">
        <v>2156</v>
      </c>
      <c r="C414" s="350" t="s">
        <v>2294</v>
      </c>
      <c r="D414" s="10" t="s">
        <v>50</v>
      </c>
      <c r="E414" s="350" t="s">
        <v>591</v>
      </c>
      <c r="F414" s="350">
        <v>54</v>
      </c>
      <c r="G414" s="17">
        <f t="shared" si="19"/>
        <v>22.05</v>
      </c>
      <c r="H414" s="17">
        <f t="shared" si="20"/>
        <v>10.610999999999999</v>
      </c>
      <c r="I414" s="17">
        <v>22.05</v>
      </c>
      <c r="J414" s="17">
        <v>10.610999999999999</v>
      </c>
      <c r="K414" s="17">
        <v>24.5</v>
      </c>
      <c r="L414" s="17">
        <v>35.369999999999997</v>
      </c>
      <c r="M414" s="346">
        <v>0.9</v>
      </c>
      <c r="N414" s="17">
        <v>2</v>
      </c>
      <c r="O414" s="346">
        <v>0.3</v>
      </c>
      <c r="P414" s="17">
        <v>4</v>
      </c>
    </row>
    <row r="415" spans="1:16">
      <c r="A415" s="10">
        <f t="shared" ca="1" si="18"/>
        <v>415</v>
      </c>
      <c r="B415" s="350" t="s">
        <v>2157</v>
      </c>
      <c r="C415" s="350" t="s">
        <v>2295</v>
      </c>
      <c r="D415" s="10" t="s">
        <v>50</v>
      </c>
      <c r="E415" s="350" t="s">
        <v>592</v>
      </c>
      <c r="F415" s="350">
        <v>26</v>
      </c>
      <c r="G415" s="17">
        <f t="shared" si="19"/>
        <v>7.56</v>
      </c>
      <c r="H415" s="17">
        <f t="shared" si="20"/>
        <v>70.977689999999996</v>
      </c>
      <c r="I415" s="17">
        <v>7.56</v>
      </c>
      <c r="J415" s="17">
        <v>70.977689999999996</v>
      </c>
      <c r="K415" s="17">
        <v>13.5</v>
      </c>
      <c r="L415" s="17">
        <v>337.98900000000003</v>
      </c>
      <c r="M415" s="346">
        <v>0.8</v>
      </c>
      <c r="N415" s="17">
        <v>2</v>
      </c>
      <c r="O415" s="346">
        <v>0.3</v>
      </c>
      <c r="P415" s="17">
        <v>5</v>
      </c>
    </row>
    <row r="416" spans="1:16">
      <c r="A416" s="10">
        <f t="shared" ca="1" si="18"/>
        <v>416</v>
      </c>
      <c r="B416" s="65" t="s">
        <v>642</v>
      </c>
      <c r="C416" s="350" t="s">
        <v>2296</v>
      </c>
      <c r="D416" s="10" t="s">
        <v>51</v>
      </c>
      <c r="E416" s="351" t="s">
        <v>595</v>
      </c>
      <c r="F416" s="352">
        <v>22</v>
      </c>
      <c r="G416" s="17">
        <f t="shared" si="19"/>
        <v>2550.7800000000007</v>
      </c>
      <c r="H416" s="17">
        <f t="shared" si="20"/>
        <v>3182.5162499999997</v>
      </c>
      <c r="I416" s="17">
        <v>2550.7800000000007</v>
      </c>
      <c r="J416" s="17">
        <v>3182.5162499999997</v>
      </c>
      <c r="K416" s="17">
        <v>6376.9500000000007</v>
      </c>
      <c r="L416" s="17">
        <v>21216.774999999998</v>
      </c>
      <c r="M416" s="346">
        <v>0.8</v>
      </c>
      <c r="N416" s="17">
        <v>2</v>
      </c>
      <c r="O416" s="346">
        <v>0.3</v>
      </c>
      <c r="P416" s="17">
        <v>5</v>
      </c>
    </row>
    <row r="417" spans="1:16">
      <c r="A417" s="10">
        <f t="shared" ca="1" si="18"/>
        <v>418</v>
      </c>
      <c r="B417" s="350" t="s">
        <v>2159</v>
      </c>
      <c r="C417" s="350" t="s">
        <v>2297</v>
      </c>
      <c r="D417" s="10" t="s">
        <v>51</v>
      </c>
      <c r="E417" s="350" t="s">
        <v>2074</v>
      </c>
      <c r="F417" s="350">
        <v>29</v>
      </c>
      <c r="G417" s="17">
        <f t="shared" si="19"/>
        <v>3.9015000000000004</v>
      </c>
      <c r="H417" s="17">
        <f t="shared" si="20"/>
        <v>2.4448720000000002</v>
      </c>
      <c r="I417" s="17">
        <v>3.9015000000000004</v>
      </c>
      <c r="J417" s="17">
        <v>2.4448720000000002</v>
      </c>
      <c r="K417" s="17">
        <v>5.1000000000000005</v>
      </c>
      <c r="L417" s="17">
        <v>3.5954000000000002</v>
      </c>
      <c r="M417" s="346">
        <v>0.9</v>
      </c>
      <c r="N417" s="17">
        <v>1</v>
      </c>
      <c r="O417" s="346">
        <v>0.8</v>
      </c>
      <c r="P417" s="17">
        <v>1</v>
      </c>
    </row>
    <row r="418" spans="1:16">
      <c r="A418" s="10" t="str">
        <f t="shared" ca="1" si="18"/>
        <v/>
      </c>
      <c r="B418" s="350" t="s">
        <v>2159</v>
      </c>
      <c r="C418" s="350" t="s">
        <v>2298</v>
      </c>
      <c r="D418" s="10" t="s">
        <v>51</v>
      </c>
      <c r="E418" s="350" t="s">
        <v>593</v>
      </c>
      <c r="F418" s="350">
        <v>29</v>
      </c>
      <c r="G418" s="17">
        <f t="shared" si="19"/>
        <v>191.17349999999999</v>
      </c>
      <c r="H418" s="17">
        <f t="shared" si="20"/>
        <v>44.924522999999994</v>
      </c>
      <c r="I418" s="17">
        <v>191.17349999999999</v>
      </c>
      <c r="J418" s="17">
        <v>44.924522999999994</v>
      </c>
      <c r="K418" s="17">
        <v>249.9</v>
      </c>
      <c r="L418" s="17">
        <v>176.1746</v>
      </c>
      <c r="M418" s="346">
        <v>0.9</v>
      </c>
      <c r="N418" s="17">
        <v>1</v>
      </c>
      <c r="O418" s="346">
        <v>0.3</v>
      </c>
      <c r="P418" s="17">
        <v>1</v>
      </c>
    </row>
    <row r="419" spans="1:16">
      <c r="A419" s="10">
        <f t="shared" ca="1" si="18"/>
        <v>420</v>
      </c>
      <c r="B419" s="65" t="s">
        <v>1944</v>
      </c>
      <c r="C419" s="350" t="s">
        <v>2087</v>
      </c>
      <c r="D419" s="10" t="s">
        <v>51</v>
      </c>
      <c r="E419" s="351" t="s">
        <v>517</v>
      </c>
      <c r="F419" s="352">
        <v>65</v>
      </c>
      <c r="G419" s="17">
        <f t="shared" si="19"/>
        <v>594.95309999999995</v>
      </c>
      <c r="H419" s="17">
        <f t="shared" si="20"/>
        <v>1386</v>
      </c>
      <c r="I419" s="17">
        <v>594.95309999999995</v>
      </c>
      <c r="J419" s="17">
        <v>1386</v>
      </c>
      <c r="K419" s="17">
        <v>1214.19</v>
      </c>
      <c r="L419" s="17">
        <v>6600</v>
      </c>
      <c r="M419" s="346">
        <v>0.7</v>
      </c>
      <c r="N419" s="17">
        <v>5</v>
      </c>
      <c r="O419" s="346">
        <v>0.3</v>
      </c>
      <c r="P419" s="17">
        <v>5</v>
      </c>
    </row>
    <row r="420" spans="1:16">
      <c r="A420" s="10" t="str">
        <f t="shared" ca="1" si="18"/>
        <v/>
      </c>
      <c r="B420" s="65" t="s">
        <v>1944</v>
      </c>
      <c r="C420" s="350" t="s">
        <v>2088</v>
      </c>
      <c r="D420" s="10" t="s">
        <v>51</v>
      </c>
      <c r="E420" s="351" t="s">
        <v>2089</v>
      </c>
      <c r="F420" s="352">
        <v>65</v>
      </c>
      <c r="G420" s="17">
        <f t="shared" si="19"/>
        <v>190.38499200000001</v>
      </c>
      <c r="H420" s="17">
        <f t="shared" si="20"/>
        <v>443.52</v>
      </c>
      <c r="I420" s="17">
        <v>190.38499200000001</v>
      </c>
      <c r="J420" s="17">
        <v>443.52</v>
      </c>
      <c r="K420" s="17">
        <v>388.54080000000005</v>
      </c>
      <c r="L420" s="17">
        <v>2112</v>
      </c>
      <c r="M420" s="346">
        <v>0.7</v>
      </c>
      <c r="N420" s="17">
        <v>5</v>
      </c>
      <c r="O420" s="346">
        <v>0.3</v>
      </c>
      <c r="P420" s="17">
        <v>5</v>
      </c>
    </row>
    <row r="421" spans="1:16">
      <c r="A421" s="10">
        <f t="shared" ca="1" si="18"/>
        <v>426</v>
      </c>
      <c r="B421" s="65" t="s">
        <v>275</v>
      </c>
      <c r="C421" s="350" t="s">
        <v>885</v>
      </c>
      <c r="D421" s="10" t="s">
        <v>46</v>
      </c>
      <c r="E421" s="353" t="s">
        <v>526</v>
      </c>
      <c r="F421" s="352">
        <v>1</v>
      </c>
      <c r="G421" s="17">
        <f t="shared" si="19"/>
        <v>194.47684355332905</v>
      </c>
      <c r="H421" s="17">
        <f t="shared" si="20"/>
        <v>0</v>
      </c>
      <c r="I421" s="17">
        <v>194.47684355332905</v>
      </c>
      <c r="J421" s="17">
        <v>0</v>
      </c>
      <c r="K421" s="17">
        <v>648.25614517776353</v>
      </c>
      <c r="L421" s="17">
        <v>0</v>
      </c>
      <c r="M421" s="346">
        <v>0.3</v>
      </c>
      <c r="N421" s="17">
        <v>2</v>
      </c>
      <c r="O421" s="346">
        <v>0</v>
      </c>
      <c r="P421" s="17">
        <v>5</v>
      </c>
    </row>
    <row r="422" spans="1:16">
      <c r="A422" s="10" t="str">
        <f t="shared" ca="1" si="18"/>
        <v/>
      </c>
      <c r="B422" s="65" t="s">
        <v>275</v>
      </c>
      <c r="C422" s="350" t="s">
        <v>886</v>
      </c>
      <c r="D422" s="10" t="s">
        <v>46</v>
      </c>
      <c r="E422" s="353" t="s">
        <v>510</v>
      </c>
      <c r="F422" s="352">
        <v>1</v>
      </c>
      <c r="G422" s="17">
        <f t="shared" si="19"/>
        <v>194.47684355332905</v>
      </c>
      <c r="H422" s="17">
        <f t="shared" si="20"/>
        <v>0</v>
      </c>
      <c r="I422" s="17">
        <v>194.47684355332905</v>
      </c>
      <c r="J422" s="17">
        <v>0</v>
      </c>
      <c r="K422" s="17">
        <v>648.25614517776353</v>
      </c>
      <c r="L422" s="17">
        <v>0</v>
      </c>
      <c r="M422" s="346">
        <v>0.3</v>
      </c>
      <c r="N422" s="17">
        <v>2</v>
      </c>
      <c r="O422" s="346">
        <v>0</v>
      </c>
      <c r="P422" s="17">
        <v>5</v>
      </c>
    </row>
    <row r="423" spans="1:16">
      <c r="A423" s="10" t="str">
        <f t="shared" ca="1" si="18"/>
        <v/>
      </c>
      <c r="B423" s="65" t="s">
        <v>275</v>
      </c>
      <c r="C423" s="350" t="s">
        <v>887</v>
      </c>
      <c r="D423" s="10" t="s">
        <v>46</v>
      </c>
      <c r="E423" s="353" t="s">
        <v>502</v>
      </c>
      <c r="F423" s="352">
        <v>2</v>
      </c>
      <c r="G423" s="17">
        <f t="shared" si="19"/>
        <v>116.68610613199742</v>
      </c>
      <c r="H423" s="17">
        <f t="shared" si="20"/>
        <v>0</v>
      </c>
      <c r="I423" s="17">
        <v>116.68610613199742</v>
      </c>
      <c r="J423" s="17">
        <v>0</v>
      </c>
      <c r="K423" s="17">
        <v>1296.5122903555271</v>
      </c>
      <c r="L423" s="17">
        <v>0</v>
      </c>
      <c r="M423" s="346">
        <v>0.3</v>
      </c>
      <c r="N423" s="17">
        <v>2</v>
      </c>
      <c r="O423" s="346">
        <v>0</v>
      </c>
      <c r="P423" s="17">
        <v>5</v>
      </c>
    </row>
    <row r="424" spans="1:16">
      <c r="A424" s="10" t="str">
        <f t="shared" ca="1" si="18"/>
        <v/>
      </c>
      <c r="B424" s="65" t="s">
        <v>275</v>
      </c>
      <c r="C424" s="350" t="s">
        <v>888</v>
      </c>
      <c r="D424" s="10" t="s">
        <v>46</v>
      </c>
      <c r="E424" s="353" t="s">
        <v>503</v>
      </c>
      <c r="F424" s="352">
        <v>2</v>
      </c>
      <c r="G424" s="17">
        <f t="shared" si="19"/>
        <v>116.68610613199742</v>
      </c>
      <c r="H424" s="17">
        <f t="shared" si="20"/>
        <v>0</v>
      </c>
      <c r="I424" s="17">
        <v>116.68610613199742</v>
      </c>
      <c r="J424" s="17">
        <v>0</v>
      </c>
      <c r="K424" s="17">
        <v>1296.5122903555271</v>
      </c>
      <c r="L424" s="17">
        <v>0</v>
      </c>
      <c r="M424" s="346">
        <v>0.3</v>
      </c>
      <c r="N424" s="17">
        <v>2</v>
      </c>
      <c r="O424" s="346">
        <v>0</v>
      </c>
      <c r="P424" s="17">
        <v>5</v>
      </c>
    </row>
    <row r="425" spans="1:16">
      <c r="A425" s="10" t="str">
        <f t="shared" ca="1" si="18"/>
        <v/>
      </c>
      <c r="B425" s="65" t="s">
        <v>275</v>
      </c>
      <c r="C425" s="350" t="s">
        <v>889</v>
      </c>
      <c r="D425" s="10" t="s">
        <v>46</v>
      </c>
      <c r="E425" s="353" t="s">
        <v>506</v>
      </c>
      <c r="F425" s="352">
        <v>2</v>
      </c>
      <c r="G425" s="17">
        <f t="shared" si="19"/>
        <v>116.68610613199742</v>
      </c>
      <c r="H425" s="17">
        <f t="shared" si="20"/>
        <v>0</v>
      </c>
      <c r="I425" s="17">
        <v>116.68610613199742</v>
      </c>
      <c r="J425" s="17">
        <v>0</v>
      </c>
      <c r="K425" s="17">
        <v>1296.5122903555271</v>
      </c>
      <c r="L425" s="17">
        <v>0</v>
      </c>
      <c r="M425" s="346">
        <v>0.3</v>
      </c>
      <c r="N425" s="17">
        <v>2</v>
      </c>
      <c r="O425" s="346">
        <v>0</v>
      </c>
      <c r="P425" s="17">
        <v>5</v>
      </c>
    </row>
    <row r="426" spans="1:16">
      <c r="A426" s="10" t="str">
        <f t="shared" ca="1" si="18"/>
        <v/>
      </c>
      <c r="B426" s="65" t="s">
        <v>275</v>
      </c>
      <c r="C426" s="350" t="s">
        <v>890</v>
      </c>
      <c r="D426" s="10" t="s">
        <v>46</v>
      </c>
      <c r="E426" s="353" t="s">
        <v>512</v>
      </c>
      <c r="F426" s="352">
        <v>2</v>
      </c>
      <c r="G426" s="17">
        <f t="shared" si="19"/>
        <v>262.54373879699421</v>
      </c>
      <c r="H426" s="17">
        <f t="shared" si="20"/>
        <v>0</v>
      </c>
      <c r="I426" s="17">
        <v>262.54373879699421</v>
      </c>
      <c r="J426" s="17">
        <v>0</v>
      </c>
      <c r="K426" s="17">
        <v>2917.1526532999355</v>
      </c>
      <c r="L426" s="17">
        <v>0</v>
      </c>
      <c r="M426" s="346">
        <v>0.3</v>
      </c>
      <c r="N426" s="17">
        <v>2</v>
      </c>
      <c r="O426" s="346">
        <v>0</v>
      </c>
      <c r="P426" s="17">
        <v>5</v>
      </c>
    </row>
    <row r="427" spans="1:16">
      <c r="A427" s="10">
        <f t="shared" ca="1" si="18"/>
        <v>427</v>
      </c>
      <c r="B427" s="350" t="s">
        <v>1945</v>
      </c>
      <c r="C427" s="350" t="s">
        <v>2299</v>
      </c>
      <c r="D427" s="10" t="s">
        <v>51</v>
      </c>
      <c r="E427" s="350" t="s">
        <v>2300</v>
      </c>
      <c r="F427" s="350">
        <v>29</v>
      </c>
      <c r="G427" s="17">
        <f t="shared" si="19"/>
        <v>1.2240000000000002</v>
      </c>
      <c r="H427" s="17">
        <f t="shared" si="20"/>
        <v>14.553699999999999</v>
      </c>
      <c r="I427" s="17">
        <v>1.2240000000000002</v>
      </c>
      <c r="J427" s="17">
        <v>14.553699999999999</v>
      </c>
      <c r="K427" s="17">
        <v>1.8</v>
      </c>
      <c r="L427" s="17">
        <v>34.244</v>
      </c>
      <c r="M427" s="346">
        <v>0.8</v>
      </c>
      <c r="N427" s="17">
        <v>2</v>
      </c>
      <c r="O427" s="346">
        <v>0.5</v>
      </c>
      <c r="P427" s="17">
        <v>3</v>
      </c>
    </row>
    <row r="428" spans="1:16">
      <c r="A428" s="10">
        <f t="shared" ca="1" si="18"/>
        <v>428</v>
      </c>
      <c r="B428" s="65" t="s">
        <v>264</v>
      </c>
      <c r="C428" s="350" t="s">
        <v>891</v>
      </c>
      <c r="D428" s="10" t="s">
        <v>50</v>
      </c>
      <c r="E428" s="350" t="s">
        <v>594</v>
      </c>
      <c r="F428" s="352">
        <v>28</v>
      </c>
      <c r="G428" s="17">
        <f t="shared" si="19"/>
        <v>55.08</v>
      </c>
      <c r="H428" s="17">
        <f t="shared" si="20"/>
        <v>1616.8428000000001</v>
      </c>
      <c r="I428" s="17">
        <v>55.08</v>
      </c>
      <c r="J428" s="17">
        <v>1616.8428000000001</v>
      </c>
      <c r="K428" s="17">
        <v>72</v>
      </c>
      <c r="L428" s="17">
        <v>2377.71</v>
      </c>
      <c r="M428" s="346">
        <v>0.9</v>
      </c>
      <c r="N428" s="17">
        <v>3</v>
      </c>
      <c r="O428" s="346">
        <v>0.8</v>
      </c>
      <c r="P428" s="17">
        <v>2</v>
      </c>
    </row>
    <row r="429" spans="1:16">
      <c r="A429" s="10">
        <f t="shared" ca="1" si="18"/>
        <v>431</v>
      </c>
      <c r="B429" s="65" t="s">
        <v>255</v>
      </c>
      <c r="C429" s="350" t="s">
        <v>2090</v>
      </c>
      <c r="D429" s="10" t="s">
        <v>51</v>
      </c>
      <c r="E429" s="351" t="s">
        <v>2091</v>
      </c>
      <c r="F429" s="352">
        <v>22</v>
      </c>
      <c r="G429" s="17">
        <f t="shared" si="19"/>
        <v>1097.6500000000001</v>
      </c>
      <c r="H429" s="17">
        <f t="shared" si="20"/>
        <v>8962.4</v>
      </c>
      <c r="I429" s="17">
        <v>1097.6500000000001</v>
      </c>
      <c r="J429" s="17">
        <v>8962.4</v>
      </c>
      <c r="K429" s="17">
        <v>4390.6000000000004</v>
      </c>
      <c r="L429" s="17">
        <v>35849.599999999999</v>
      </c>
      <c r="M429" s="346">
        <v>0.5</v>
      </c>
      <c r="N429" s="17">
        <v>7</v>
      </c>
      <c r="O429" s="346">
        <v>0.5</v>
      </c>
      <c r="P429" s="17">
        <v>7</v>
      </c>
    </row>
    <row r="430" spans="1:16">
      <c r="A430" s="10" t="str">
        <f t="shared" ca="1" si="18"/>
        <v/>
      </c>
      <c r="B430" s="65" t="s">
        <v>255</v>
      </c>
      <c r="C430" s="350" t="s">
        <v>892</v>
      </c>
      <c r="D430" s="10" t="s">
        <v>51</v>
      </c>
      <c r="E430" s="351" t="s">
        <v>667</v>
      </c>
      <c r="F430" s="352">
        <v>29</v>
      </c>
      <c r="G430" s="17">
        <f t="shared" si="19"/>
        <v>1866.0050000000001</v>
      </c>
      <c r="H430" s="17">
        <f t="shared" si="20"/>
        <v>15236.079999999998</v>
      </c>
      <c r="I430" s="17">
        <v>1866.0050000000001</v>
      </c>
      <c r="J430" s="17">
        <v>15236.079999999998</v>
      </c>
      <c r="K430" s="17">
        <v>4390.6000000000004</v>
      </c>
      <c r="L430" s="17">
        <v>35849.599999999999</v>
      </c>
      <c r="M430" s="346">
        <v>0.5</v>
      </c>
      <c r="N430" s="17">
        <v>7</v>
      </c>
      <c r="O430" s="346">
        <v>0.5</v>
      </c>
      <c r="P430" s="17">
        <v>7</v>
      </c>
    </row>
    <row r="431" spans="1:16">
      <c r="A431" s="10" t="str">
        <f t="shared" ca="1" si="18"/>
        <v/>
      </c>
      <c r="B431" s="65" t="s">
        <v>255</v>
      </c>
      <c r="C431" s="350" t="s">
        <v>893</v>
      </c>
      <c r="D431" s="10" t="s">
        <v>51</v>
      </c>
      <c r="E431" s="351" t="s">
        <v>595</v>
      </c>
      <c r="F431" s="352">
        <v>22</v>
      </c>
      <c r="G431" s="17">
        <f t="shared" si="19"/>
        <v>1097.6500000000001</v>
      </c>
      <c r="H431" s="17">
        <f t="shared" si="20"/>
        <v>8962.4</v>
      </c>
      <c r="I431" s="17">
        <v>1097.6500000000001</v>
      </c>
      <c r="J431" s="17">
        <v>8962.4</v>
      </c>
      <c r="K431" s="17">
        <v>4390.6000000000004</v>
      </c>
      <c r="L431" s="17">
        <v>35849.599999999999</v>
      </c>
      <c r="M431" s="346">
        <v>0.5</v>
      </c>
      <c r="N431" s="17">
        <v>7</v>
      </c>
      <c r="O431" s="346">
        <v>0.5</v>
      </c>
      <c r="P431" s="17">
        <v>7</v>
      </c>
    </row>
    <row r="432" spans="1:16">
      <c r="A432" s="10">
        <f t="shared" ca="1" si="18"/>
        <v>432</v>
      </c>
      <c r="B432" s="350" t="s">
        <v>2125</v>
      </c>
      <c r="C432" s="350" t="s">
        <v>2301</v>
      </c>
      <c r="D432" s="10" t="s">
        <v>48</v>
      </c>
      <c r="E432" s="350" t="s">
        <v>2302</v>
      </c>
      <c r="F432" s="350">
        <v>52</v>
      </c>
      <c r="G432" s="17">
        <f t="shared" si="19"/>
        <v>1.6</v>
      </c>
      <c r="H432" s="17">
        <f t="shared" si="20"/>
        <v>3.3949999999999996</v>
      </c>
      <c r="I432" s="17">
        <v>1.6</v>
      </c>
      <c r="J432" s="17">
        <v>3.3949999999999996</v>
      </c>
      <c r="K432" s="17">
        <v>2</v>
      </c>
      <c r="L432" s="17">
        <v>8.4874999999999989</v>
      </c>
      <c r="M432" s="346">
        <v>0.8</v>
      </c>
      <c r="N432" s="17">
        <v>2</v>
      </c>
      <c r="O432" s="346">
        <v>0.4</v>
      </c>
      <c r="P432" s="17">
        <v>3</v>
      </c>
    </row>
    <row r="433" spans="1:16">
      <c r="A433" s="10">
        <f t="shared" ca="1" si="18"/>
        <v>433</v>
      </c>
      <c r="B433" s="65" t="s">
        <v>475</v>
      </c>
      <c r="C433" s="350" t="s">
        <v>894</v>
      </c>
      <c r="D433" s="10" t="s">
        <v>53</v>
      </c>
      <c r="E433" s="350" t="s">
        <v>596</v>
      </c>
      <c r="F433" s="352">
        <v>65</v>
      </c>
      <c r="G433" s="17">
        <f t="shared" si="19"/>
        <v>547.85679999999991</v>
      </c>
      <c r="H433" s="17">
        <f t="shared" si="20"/>
        <v>3921.7079999999996</v>
      </c>
      <c r="I433" s="17">
        <v>547.85679999999991</v>
      </c>
      <c r="J433" s="17">
        <v>3921.7079999999996</v>
      </c>
      <c r="K433" s="17">
        <v>684.82099999999991</v>
      </c>
      <c r="L433" s="17">
        <v>5228.9439999999995</v>
      </c>
      <c r="M433" s="346">
        <v>0.8</v>
      </c>
      <c r="N433" s="17">
        <v>5</v>
      </c>
      <c r="O433" s="346">
        <v>0.75</v>
      </c>
      <c r="P433" s="17">
        <v>7</v>
      </c>
    </row>
    <row r="434" spans="1:16">
      <c r="A434" s="10">
        <f t="shared" ca="1" si="18"/>
        <v>434</v>
      </c>
      <c r="B434" s="350" t="s">
        <v>2158</v>
      </c>
      <c r="C434" s="350" t="s">
        <v>2303</v>
      </c>
      <c r="D434" s="10" t="s">
        <v>50</v>
      </c>
      <c r="E434" s="350" t="s">
        <v>580</v>
      </c>
      <c r="F434" s="350">
        <v>40</v>
      </c>
      <c r="G434" s="17">
        <f t="shared" si="19"/>
        <v>125.99999999999999</v>
      </c>
      <c r="H434" s="17">
        <f t="shared" si="20"/>
        <v>2978.64</v>
      </c>
      <c r="I434" s="17">
        <v>125.99999999999999</v>
      </c>
      <c r="J434" s="17">
        <v>2978.64</v>
      </c>
      <c r="K434" s="17">
        <v>225</v>
      </c>
      <c r="L434" s="17">
        <v>14184</v>
      </c>
      <c r="M434" s="346">
        <v>0.8</v>
      </c>
      <c r="N434" s="17">
        <v>2</v>
      </c>
      <c r="O434" s="346">
        <v>0.3</v>
      </c>
      <c r="P434" s="17">
        <v>4</v>
      </c>
    </row>
    <row r="435" spans="1:16">
      <c r="A435" s="10">
        <f t="shared" ca="1" si="18"/>
        <v>435</v>
      </c>
      <c r="B435" s="350" t="s">
        <v>2160</v>
      </c>
      <c r="C435" s="350" t="s">
        <v>2304</v>
      </c>
      <c r="D435" s="10" t="s">
        <v>50</v>
      </c>
      <c r="E435" s="350" t="s">
        <v>577</v>
      </c>
      <c r="F435" s="350">
        <v>22</v>
      </c>
      <c r="G435" s="17">
        <f t="shared" si="19"/>
        <v>56.699999999999996</v>
      </c>
      <c r="H435" s="17">
        <f t="shared" si="20"/>
        <v>1764.7755000000002</v>
      </c>
      <c r="I435" s="17">
        <v>56.699999999999996</v>
      </c>
      <c r="J435" s="17">
        <v>1764.7755000000002</v>
      </c>
      <c r="K435" s="17">
        <v>162</v>
      </c>
      <c r="L435" s="17">
        <v>5882.5850000000009</v>
      </c>
      <c r="M435" s="346">
        <v>0.7</v>
      </c>
      <c r="N435" s="17">
        <v>3</v>
      </c>
      <c r="O435" s="346">
        <v>0.6</v>
      </c>
      <c r="P435" s="17">
        <v>4</v>
      </c>
    </row>
    <row r="436" spans="1:16">
      <c r="A436" s="10">
        <f t="shared" ca="1" si="18"/>
        <v>436</v>
      </c>
      <c r="B436" s="350" t="s">
        <v>2141</v>
      </c>
      <c r="C436" s="350" t="s">
        <v>2305</v>
      </c>
      <c r="D436" s="10" t="s">
        <v>53</v>
      </c>
      <c r="E436" s="350" t="s">
        <v>2306</v>
      </c>
      <c r="F436" s="350">
        <v>1</v>
      </c>
      <c r="G436" s="17">
        <f t="shared" si="19"/>
        <v>135</v>
      </c>
      <c r="H436" s="17">
        <f t="shared" si="20"/>
        <v>2515.5000000000005</v>
      </c>
      <c r="I436" s="17">
        <v>135</v>
      </c>
      <c r="J436" s="17">
        <v>2515.5000000000005</v>
      </c>
      <c r="K436" s="17">
        <v>180</v>
      </c>
      <c r="L436" s="17">
        <v>5031.0000000000009</v>
      </c>
      <c r="M436" s="346">
        <v>0.75</v>
      </c>
      <c r="N436" s="17">
        <v>3</v>
      </c>
      <c r="O436" s="346">
        <v>0.5</v>
      </c>
      <c r="P436" s="17">
        <v>5</v>
      </c>
    </row>
    <row r="437" spans="1:16">
      <c r="A437" s="10">
        <f t="shared" ca="1" si="18"/>
        <v>437</v>
      </c>
      <c r="B437" s="65" t="s">
        <v>477</v>
      </c>
      <c r="C437" s="350" t="s">
        <v>895</v>
      </c>
      <c r="D437" s="10" t="s">
        <v>50</v>
      </c>
      <c r="E437" s="351" t="s">
        <v>597</v>
      </c>
      <c r="F437" s="352">
        <v>52</v>
      </c>
      <c r="G437" s="17">
        <f t="shared" si="19"/>
        <v>100.8</v>
      </c>
      <c r="H437" s="17">
        <f t="shared" si="20"/>
        <v>4899.709499999999</v>
      </c>
      <c r="I437" s="17">
        <v>100.8</v>
      </c>
      <c r="J437" s="17">
        <v>4899.709499999999</v>
      </c>
      <c r="K437" s="17">
        <v>125.99999999999999</v>
      </c>
      <c r="L437" s="17">
        <v>6532.945999999999</v>
      </c>
      <c r="M437" s="346">
        <v>0.8</v>
      </c>
      <c r="N437" s="17">
        <v>3</v>
      </c>
      <c r="O437" s="346">
        <v>0.75</v>
      </c>
      <c r="P437" s="17">
        <v>3</v>
      </c>
    </row>
    <row r="438" spans="1:16">
      <c r="A438" s="10">
        <f t="shared" ca="1" si="18"/>
        <v>447</v>
      </c>
      <c r="B438" s="65" t="s">
        <v>246</v>
      </c>
      <c r="C438" s="350" t="s">
        <v>896</v>
      </c>
      <c r="D438" s="10" t="s">
        <v>52</v>
      </c>
      <c r="E438" s="350" t="s">
        <v>598</v>
      </c>
      <c r="F438" s="352">
        <v>80</v>
      </c>
      <c r="G438" s="17">
        <f t="shared" si="19"/>
        <v>5.3999999999999995</v>
      </c>
      <c r="H438" s="17">
        <f t="shared" si="20"/>
        <v>161.05200000000002</v>
      </c>
      <c r="I438" s="17">
        <v>5.3999999999999995</v>
      </c>
      <c r="J438" s="17">
        <v>161.05200000000002</v>
      </c>
      <c r="K438" s="17">
        <v>9</v>
      </c>
      <c r="L438" s="17">
        <v>201.315</v>
      </c>
      <c r="M438" s="346">
        <v>0.6</v>
      </c>
      <c r="N438" s="17">
        <v>5</v>
      </c>
      <c r="O438" s="346">
        <v>0.8</v>
      </c>
      <c r="P438" s="17">
        <v>7</v>
      </c>
    </row>
    <row r="439" spans="1:16">
      <c r="A439" s="10" t="str">
        <f t="shared" ca="1" si="18"/>
        <v/>
      </c>
      <c r="B439" s="65" t="s">
        <v>246</v>
      </c>
      <c r="C439" s="350" t="s">
        <v>2307</v>
      </c>
      <c r="D439" s="10" t="s">
        <v>52</v>
      </c>
      <c r="E439" s="350" t="s">
        <v>2308</v>
      </c>
      <c r="F439" s="352">
        <v>22</v>
      </c>
      <c r="G439" s="17">
        <f t="shared" si="19"/>
        <v>5.3999999999999995</v>
      </c>
      <c r="H439" s="17">
        <f t="shared" si="20"/>
        <v>161.05200000000002</v>
      </c>
      <c r="I439" s="17">
        <v>5.3999999999999995</v>
      </c>
      <c r="J439" s="17">
        <v>161.05200000000002</v>
      </c>
      <c r="K439" s="17">
        <v>18</v>
      </c>
      <c r="L439" s="17">
        <v>402.63</v>
      </c>
      <c r="M439" s="346">
        <v>0.6</v>
      </c>
      <c r="N439" s="17">
        <v>5</v>
      </c>
      <c r="O439" s="346">
        <v>0.8</v>
      </c>
      <c r="P439" s="17">
        <v>7</v>
      </c>
    </row>
    <row r="440" spans="1:16">
      <c r="A440" s="10" t="str">
        <f t="shared" ca="1" si="18"/>
        <v/>
      </c>
      <c r="B440" s="65" t="s">
        <v>246</v>
      </c>
      <c r="C440" s="350" t="s">
        <v>2092</v>
      </c>
      <c r="D440" s="10" t="s">
        <v>52</v>
      </c>
      <c r="E440" s="350" t="s">
        <v>2093</v>
      </c>
      <c r="F440" s="352">
        <v>72</v>
      </c>
      <c r="G440" s="17">
        <f t="shared" si="19"/>
        <v>5.3999999999999995</v>
      </c>
      <c r="H440" s="17">
        <f t="shared" si="20"/>
        <v>161.05200000000002</v>
      </c>
      <c r="I440" s="17">
        <v>5.3999999999999995</v>
      </c>
      <c r="J440" s="17">
        <v>161.05200000000002</v>
      </c>
      <c r="K440" s="17">
        <v>9</v>
      </c>
      <c r="L440" s="17">
        <v>201.315</v>
      </c>
      <c r="M440" s="346">
        <v>0.6</v>
      </c>
      <c r="N440" s="17">
        <v>5</v>
      </c>
      <c r="O440" s="346">
        <v>0.8</v>
      </c>
      <c r="P440" s="17">
        <v>7</v>
      </c>
    </row>
    <row r="441" spans="1:16">
      <c r="A441" s="10" t="str">
        <f t="shared" ca="1" si="18"/>
        <v/>
      </c>
      <c r="B441" s="65" t="s">
        <v>246</v>
      </c>
      <c r="C441" s="350" t="s">
        <v>2094</v>
      </c>
      <c r="D441" s="10" t="s">
        <v>52</v>
      </c>
      <c r="E441" s="350" t="s">
        <v>657</v>
      </c>
      <c r="F441" s="352">
        <v>78</v>
      </c>
      <c r="G441" s="17">
        <f t="shared" si="19"/>
        <v>5.3999999999999995</v>
      </c>
      <c r="H441" s="17">
        <f t="shared" si="20"/>
        <v>161.05200000000002</v>
      </c>
      <c r="I441" s="17">
        <v>5.3999999999999995</v>
      </c>
      <c r="J441" s="17">
        <v>161.05200000000002</v>
      </c>
      <c r="K441" s="17">
        <v>9</v>
      </c>
      <c r="L441" s="17">
        <v>201.315</v>
      </c>
      <c r="M441" s="346">
        <v>0.6</v>
      </c>
      <c r="N441" s="17">
        <v>5</v>
      </c>
      <c r="O441" s="346">
        <v>0.8</v>
      </c>
      <c r="P441" s="17">
        <v>7</v>
      </c>
    </row>
    <row r="442" spans="1:16">
      <c r="A442" s="10" t="str">
        <f t="shared" ca="1" si="18"/>
        <v/>
      </c>
      <c r="B442" s="65" t="s">
        <v>246</v>
      </c>
      <c r="C442" s="350" t="s">
        <v>2095</v>
      </c>
      <c r="D442" s="10" t="s">
        <v>52</v>
      </c>
      <c r="E442" s="350" t="s">
        <v>2096</v>
      </c>
      <c r="F442" s="352">
        <v>49</v>
      </c>
      <c r="G442" s="17">
        <f t="shared" si="19"/>
        <v>3.7799999999999994</v>
      </c>
      <c r="H442" s="17">
        <f t="shared" si="20"/>
        <v>112.7364</v>
      </c>
      <c r="I442" s="17">
        <v>3.7799999999999994</v>
      </c>
      <c r="J442" s="17">
        <v>112.7364</v>
      </c>
      <c r="K442" s="17">
        <v>9</v>
      </c>
      <c r="L442" s="17">
        <v>201.315</v>
      </c>
      <c r="M442" s="346">
        <v>0.6</v>
      </c>
      <c r="N442" s="17">
        <v>5</v>
      </c>
      <c r="O442" s="346">
        <v>0.8</v>
      </c>
      <c r="P442" s="17">
        <v>7</v>
      </c>
    </row>
    <row r="443" spans="1:16">
      <c r="A443" s="10" t="str">
        <f t="shared" ca="1" si="18"/>
        <v/>
      </c>
      <c r="B443" s="65" t="s">
        <v>246</v>
      </c>
      <c r="C443" s="350" t="s">
        <v>897</v>
      </c>
      <c r="D443" s="10" t="s">
        <v>52</v>
      </c>
      <c r="E443" s="351" t="s">
        <v>599</v>
      </c>
      <c r="F443" s="352">
        <v>85</v>
      </c>
      <c r="G443" s="17">
        <f t="shared" si="19"/>
        <v>5.3999999999999995</v>
      </c>
      <c r="H443" s="17">
        <f t="shared" si="20"/>
        <v>161.05200000000002</v>
      </c>
      <c r="I443" s="17">
        <v>5.3999999999999995</v>
      </c>
      <c r="J443" s="17">
        <v>161.05200000000002</v>
      </c>
      <c r="K443" s="17">
        <v>9</v>
      </c>
      <c r="L443" s="17">
        <v>201.315</v>
      </c>
      <c r="M443" s="346">
        <v>0.6</v>
      </c>
      <c r="N443" s="17">
        <v>5</v>
      </c>
      <c r="O443" s="346">
        <v>0.8</v>
      </c>
      <c r="P443" s="17">
        <v>7</v>
      </c>
    </row>
    <row r="444" spans="1:16">
      <c r="A444" s="10" t="str">
        <f t="shared" ca="1" si="18"/>
        <v/>
      </c>
      <c r="B444" s="65" t="s">
        <v>246</v>
      </c>
      <c r="C444" s="350" t="s">
        <v>898</v>
      </c>
      <c r="D444" s="10" t="s">
        <v>52</v>
      </c>
      <c r="E444" s="351" t="s">
        <v>600</v>
      </c>
      <c r="F444" s="352">
        <v>72</v>
      </c>
      <c r="G444" s="17">
        <f t="shared" si="19"/>
        <v>21.599999999999998</v>
      </c>
      <c r="H444" s="17">
        <f t="shared" si="20"/>
        <v>644.20800000000008</v>
      </c>
      <c r="I444" s="17">
        <v>21.599999999999998</v>
      </c>
      <c r="J444" s="17">
        <v>644.20800000000008</v>
      </c>
      <c r="K444" s="17">
        <v>36</v>
      </c>
      <c r="L444" s="17">
        <v>805.26</v>
      </c>
      <c r="M444" s="346">
        <v>0.6</v>
      </c>
      <c r="N444" s="17">
        <v>5</v>
      </c>
      <c r="O444" s="346">
        <v>0.8</v>
      </c>
      <c r="P444" s="17">
        <v>7</v>
      </c>
    </row>
    <row r="445" spans="1:16">
      <c r="A445" s="10" t="str">
        <f t="shared" ca="1" si="18"/>
        <v/>
      </c>
      <c r="B445" s="65" t="s">
        <v>246</v>
      </c>
      <c r="C445" s="350" t="s">
        <v>2309</v>
      </c>
      <c r="D445" s="10" t="s">
        <v>52</v>
      </c>
      <c r="E445" s="351" t="s">
        <v>2310</v>
      </c>
      <c r="F445" s="352">
        <v>85</v>
      </c>
      <c r="G445" s="17">
        <f t="shared" si="19"/>
        <v>37.800000000000004</v>
      </c>
      <c r="H445" s="17">
        <f t="shared" si="20"/>
        <v>1127.3640000000003</v>
      </c>
      <c r="I445" s="17">
        <v>37.800000000000004</v>
      </c>
      <c r="J445" s="17">
        <v>1127.3640000000003</v>
      </c>
      <c r="K445" s="17">
        <v>63.000000000000007</v>
      </c>
      <c r="L445" s="17">
        <v>1409.2050000000002</v>
      </c>
      <c r="M445" s="346">
        <v>0.6</v>
      </c>
      <c r="N445" s="17">
        <v>5</v>
      </c>
      <c r="O445" s="346">
        <v>0.8</v>
      </c>
      <c r="P445" s="17">
        <v>7</v>
      </c>
    </row>
    <row r="446" spans="1:16">
      <c r="A446" s="10" t="str">
        <f t="shared" ca="1" si="18"/>
        <v/>
      </c>
      <c r="B446" s="65" t="s">
        <v>246</v>
      </c>
      <c r="C446" s="350" t="s">
        <v>899</v>
      </c>
      <c r="D446" s="10" t="s">
        <v>52</v>
      </c>
      <c r="E446" s="350" t="s">
        <v>601</v>
      </c>
      <c r="F446" s="352">
        <v>78</v>
      </c>
      <c r="G446" s="17">
        <f t="shared" si="19"/>
        <v>0</v>
      </c>
      <c r="H446" s="17">
        <f t="shared" si="20"/>
        <v>0</v>
      </c>
      <c r="I446" s="17">
        <v>0</v>
      </c>
      <c r="J446" s="17">
        <v>0</v>
      </c>
      <c r="K446" s="17">
        <v>0</v>
      </c>
      <c r="L446" s="17">
        <v>0</v>
      </c>
      <c r="M446" s="346">
        <v>0.6</v>
      </c>
      <c r="N446" s="17">
        <v>5</v>
      </c>
      <c r="O446" s="346">
        <v>0.8</v>
      </c>
      <c r="P446" s="17">
        <v>7</v>
      </c>
    </row>
    <row r="447" spans="1:16">
      <c r="A447" s="10" t="str">
        <f t="shared" ca="1" si="18"/>
        <v/>
      </c>
      <c r="B447" s="65" t="s">
        <v>246</v>
      </c>
      <c r="C447" s="350" t="s">
        <v>900</v>
      </c>
      <c r="D447" s="10" t="s">
        <v>52</v>
      </c>
      <c r="E447" s="350" t="s">
        <v>584</v>
      </c>
      <c r="F447" s="352">
        <v>72</v>
      </c>
      <c r="G447" s="17">
        <f t="shared" si="19"/>
        <v>16.2</v>
      </c>
      <c r="H447" s="17">
        <f t="shared" si="20"/>
        <v>483.15599999999995</v>
      </c>
      <c r="I447" s="17">
        <v>16.2</v>
      </c>
      <c r="J447" s="17">
        <v>483.15599999999995</v>
      </c>
      <c r="K447" s="17">
        <v>27</v>
      </c>
      <c r="L447" s="17">
        <v>603.94499999999994</v>
      </c>
      <c r="M447" s="346">
        <v>0.6</v>
      </c>
      <c r="N447" s="17">
        <v>5</v>
      </c>
      <c r="O447" s="346">
        <v>0.8</v>
      </c>
      <c r="P447" s="17">
        <v>7</v>
      </c>
    </row>
    <row r="448" spans="1:16">
      <c r="A448" s="10">
        <f t="shared" ca="1" si="18"/>
        <v>448</v>
      </c>
      <c r="B448" s="65" t="s">
        <v>249</v>
      </c>
      <c r="C448" s="350" t="s">
        <v>901</v>
      </c>
      <c r="D448" s="10" t="s">
        <v>52</v>
      </c>
      <c r="E448" s="351" t="s">
        <v>602</v>
      </c>
      <c r="F448" s="352">
        <v>72</v>
      </c>
      <c r="G448" s="17">
        <f t="shared" si="19"/>
        <v>4.32</v>
      </c>
      <c r="H448" s="17">
        <f t="shared" si="20"/>
        <v>137.79839999999999</v>
      </c>
      <c r="I448" s="17">
        <v>4.32</v>
      </c>
      <c r="J448" s="17">
        <v>137.79839999999999</v>
      </c>
      <c r="K448" s="17">
        <v>7.2</v>
      </c>
      <c r="L448" s="17">
        <v>172.24799999999999</v>
      </c>
      <c r="M448" s="346">
        <v>0.6</v>
      </c>
      <c r="N448" s="17">
        <v>5</v>
      </c>
      <c r="O448" s="346">
        <v>0.8</v>
      </c>
      <c r="P448" s="17">
        <v>7</v>
      </c>
    </row>
    <row r="449" spans="1:16">
      <c r="A449" s="10">
        <f t="shared" ca="1" si="18"/>
        <v>449</v>
      </c>
      <c r="B449" s="65" t="s">
        <v>256</v>
      </c>
      <c r="C449" s="350" t="s">
        <v>902</v>
      </c>
      <c r="D449" s="10" t="s">
        <v>52</v>
      </c>
      <c r="E449" s="355" t="s">
        <v>604</v>
      </c>
      <c r="F449" s="352">
        <v>30</v>
      </c>
      <c r="G449" s="17">
        <f t="shared" si="19"/>
        <v>44.099999999999994</v>
      </c>
      <c r="H449" s="17">
        <f t="shared" si="20"/>
        <v>844.01519999999982</v>
      </c>
      <c r="I449" s="17">
        <v>44.099999999999994</v>
      </c>
      <c r="J449" s="17">
        <v>844.01519999999982</v>
      </c>
      <c r="K449" s="17">
        <v>125.99999999999999</v>
      </c>
      <c r="L449" s="17">
        <v>3014.3399999999997</v>
      </c>
      <c r="M449" s="346">
        <v>0.5</v>
      </c>
      <c r="N449" s="17">
        <v>5</v>
      </c>
      <c r="O449" s="346">
        <v>0.4</v>
      </c>
      <c r="P449" s="17">
        <v>7</v>
      </c>
    </row>
    <row r="450" spans="1:16">
      <c r="A450" s="10">
        <f t="shared" ref="A450:A469" ca="1" si="21">IF(B449=B450,"",ROW(A450)-1+MATCH(B450,INDIRECT("B"&amp;ROW(A450)&amp;":"&amp;"B"&amp;$A$1),1))</f>
        <v>450</v>
      </c>
      <c r="B450" s="350" t="s">
        <v>648</v>
      </c>
      <c r="C450" s="350" t="s">
        <v>903</v>
      </c>
      <c r="D450" s="10" t="s">
        <v>51</v>
      </c>
      <c r="E450" s="350" t="s">
        <v>668</v>
      </c>
      <c r="F450" s="350">
        <v>29</v>
      </c>
      <c r="G450" s="17">
        <f t="shared" ref="G450:G469" si="22">IF($R$2=1,K450,I450)</f>
        <v>13.004999999999999</v>
      </c>
      <c r="H450" s="17">
        <f t="shared" ref="H450:H469" si="23">IF($R$2=1,L450,J450)</f>
        <v>350.85042000000004</v>
      </c>
      <c r="I450" s="17">
        <v>13.004999999999999</v>
      </c>
      <c r="J450" s="17">
        <v>350.85042000000004</v>
      </c>
      <c r="K450" s="17">
        <v>18</v>
      </c>
      <c r="L450" s="17">
        <v>687.94200000000012</v>
      </c>
      <c r="M450" s="346">
        <v>0.85</v>
      </c>
      <c r="N450" s="17">
        <v>2</v>
      </c>
      <c r="O450" s="346">
        <v>0.6</v>
      </c>
      <c r="P450" s="17">
        <v>4</v>
      </c>
    </row>
    <row r="451" spans="1:16">
      <c r="A451" s="10">
        <f t="shared" ca="1" si="21"/>
        <v>451</v>
      </c>
      <c r="B451" s="350" t="s">
        <v>2162</v>
      </c>
      <c r="C451" s="350" t="s">
        <v>2311</v>
      </c>
      <c r="D451" s="10" t="s">
        <v>50</v>
      </c>
      <c r="E451" s="350" t="s">
        <v>2312</v>
      </c>
      <c r="F451" s="350">
        <v>29</v>
      </c>
      <c r="G451" s="17">
        <f t="shared" si="22"/>
        <v>2.1603599999999998</v>
      </c>
      <c r="H451" s="17">
        <f t="shared" si="23"/>
        <v>0.47593200000000008</v>
      </c>
      <c r="I451" s="17">
        <v>2.1603599999999998</v>
      </c>
      <c r="J451" s="17">
        <v>0.47593200000000008</v>
      </c>
      <c r="K451" s="17">
        <v>2.8239999999999998</v>
      </c>
      <c r="L451" s="17">
        <v>0.93320000000000014</v>
      </c>
      <c r="M451" s="346">
        <v>0.9</v>
      </c>
      <c r="N451" s="17">
        <v>1</v>
      </c>
      <c r="O451" s="346">
        <v>0.6</v>
      </c>
      <c r="P451" s="17">
        <v>2</v>
      </c>
    </row>
    <row r="452" spans="1:16">
      <c r="A452" s="10">
        <f t="shared" ca="1" si="21"/>
        <v>452</v>
      </c>
      <c r="B452" s="65" t="s">
        <v>229</v>
      </c>
      <c r="C452" s="350" t="s">
        <v>904</v>
      </c>
      <c r="D452" s="10" t="s">
        <v>49</v>
      </c>
      <c r="E452" s="350" t="s">
        <v>605</v>
      </c>
      <c r="F452" s="352">
        <v>52</v>
      </c>
      <c r="G452" s="17">
        <f t="shared" si="22"/>
        <v>8.1</v>
      </c>
      <c r="H452" s="17">
        <f t="shared" si="23"/>
        <v>0</v>
      </c>
      <c r="I452" s="17">
        <v>8.1</v>
      </c>
      <c r="J452" s="17">
        <v>0</v>
      </c>
      <c r="K452" s="17">
        <v>9</v>
      </c>
      <c r="L452" s="17">
        <v>0</v>
      </c>
      <c r="M452" s="346">
        <v>0.9</v>
      </c>
      <c r="N452" s="17">
        <v>1</v>
      </c>
      <c r="O452" s="346">
        <v>0.9</v>
      </c>
      <c r="P452" s="17">
        <v>1</v>
      </c>
    </row>
    <row r="453" spans="1:16">
      <c r="A453" s="10">
        <f t="shared" ca="1" si="21"/>
        <v>453</v>
      </c>
      <c r="B453" s="65" t="s">
        <v>1942</v>
      </c>
      <c r="C453" s="350" t="s">
        <v>2097</v>
      </c>
      <c r="D453" s="10" t="s">
        <v>49</v>
      </c>
      <c r="E453" s="350" t="s">
        <v>2098</v>
      </c>
      <c r="F453" s="352">
        <v>52</v>
      </c>
      <c r="G453" s="17">
        <f t="shared" si="22"/>
        <v>8.1</v>
      </c>
      <c r="H453" s="17">
        <f t="shared" si="23"/>
        <v>0</v>
      </c>
      <c r="I453" s="17">
        <v>8.1</v>
      </c>
      <c r="J453" s="17">
        <v>0</v>
      </c>
      <c r="K453" s="17">
        <v>9</v>
      </c>
      <c r="L453" s="17">
        <v>0</v>
      </c>
      <c r="M453" s="346">
        <v>0.9</v>
      </c>
      <c r="N453" s="17">
        <v>1</v>
      </c>
      <c r="O453" s="346">
        <v>0.9</v>
      </c>
      <c r="P453" s="17">
        <v>1</v>
      </c>
    </row>
    <row r="454" spans="1:16">
      <c r="A454" s="10">
        <f t="shared" ca="1" si="21"/>
        <v>454</v>
      </c>
      <c r="B454" s="350" t="s">
        <v>2126</v>
      </c>
      <c r="C454" s="350" t="s">
        <v>2313</v>
      </c>
      <c r="D454" s="10" t="s">
        <v>49</v>
      </c>
      <c r="E454" s="350" t="s">
        <v>2314</v>
      </c>
      <c r="F454" s="350">
        <v>52</v>
      </c>
      <c r="G454" s="17">
        <f t="shared" si="22"/>
        <v>7.2</v>
      </c>
      <c r="H454" s="17">
        <f t="shared" si="23"/>
        <v>216</v>
      </c>
      <c r="I454" s="17">
        <v>7.2</v>
      </c>
      <c r="J454" s="17">
        <v>216</v>
      </c>
      <c r="K454" s="17">
        <v>8</v>
      </c>
      <c r="L454" s="17">
        <v>360</v>
      </c>
      <c r="M454" s="346">
        <v>0.9</v>
      </c>
      <c r="N454" s="17">
        <v>1</v>
      </c>
      <c r="O454" s="346">
        <v>0.6</v>
      </c>
      <c r="P454" s="17">
        <v>2</v>
      </c>
    </row>
    <row r="455" spans="1:16">
      <c r="A455" s="10">
        <f t="shared" ca="1" si="21"/>
        <v>455</v>
      </c>
      <c r="B455" s="350" t="s">
        <v>2128</v>
      </c>
      <c r="C455" s="350" t="s">
        <v>2315</v>
      </c>
      <c r="D455" s="10" t="s">
        <v>49</v>
      </c>
      <c r="E455" s="350" t="s">
        <v>2316</v>
      </c>
      <c r="F455" s="352">
        <v>51</v>
      </c>
      <c r="G455" s="17">
        <f t="shared" si="22"/>
        <v>14.58</v>
      </c>
      <c r="H455" s="17">
        <f t="shared" si="23"/>
        <v>405</v>
      </c>
      <c r="I455" s="17">
        <v>14.58</v>
      </c>
      <c r="J455" s="17">
        <v>405</v>
      </c>
      <c r="K455" s="17">
        <v>16.2</v>
      </c>
      <c r="L455" s="17">
        <v>675</v>
      </c>
      <c r="M455" s="346">
        <v>0.9</v>
      </c>
      <c r="N455" s="17">
        <v>1</v>
      </c>
      <c r="O455" s="346">
        <v>0.6</v>
      </c>
      <c r="P455" s="17">
        <v>2</v>
      </c>
    </row>
    <row r="456" spans="1:16">
      <c r="A456" s="10">
        <f t="shared" ca="1" si="21"/>
        <v>458</v>
      </c>
      <c r="B456" s="65" t="s">
        <v>2127</v>
      </c>
      <c r="C456" s="350" t="s">
        <v>2317</v>
      </c>
      <c r="D456" s="10" t="s">
        <v>48</v>
      </c>
      <c r="E456" s="350" t="s">
        <v>606</v>
      </c>
      <c r="F456" s="352">
        <v>52</v>
      </c>
      <c r="G456" s="17">
        <f t="shared" si="22"/>
        <v>668.25</v>
      </c>
      <c r="H456" s="17">
        <f t="shared" si="23"/>
        <v>8932.4748000000018</v>
      </c>
      <c r="I456" s="17">
        <v>668.25</v>
      </c>
      <c r="J456" s="17">
        <v>8932.4748000000018</v>
      </c>
      <c r="K456" s="17">
        <v>742.5</v>
      </c>
      <c r="L456" s="17">
        <v>11165.593500000001</v>
      </c>
      <c r="M456" s="346">
        <v>0.9</v>
      </c>
      <c r="N456" s="17">
        <v>5</v>
      </c>
      <c r="O456" s="346">
        <v>0.8</v>
      </c>
      <c r="P456" s="17">
        <v>10</v>
      </c>
    </row>
    <row r="457" spans="1:16">
      <c r="A457" s="10" t="str">
        <f t="shared" ca="1" si="21"/>
        <v/>
      </c>
      <c r="B457" s="65" t="s">
        <v>2127</v>
      </c>
      <c r="C457" s="350" t="s">
        <v>2318</v>
      </c>
      <c r="D457" s="10" t="s">
        <v>48</v>
      </c>
      <c r="E457" s="350" t="s">
        <v>607</v>
      </c>
      <c r="F457" s="352">
        <v>52</v>
      </c>
      <c r="G457" s="17">
        <f t="shared" si="22"/>
        <v>668.25</v>
      </c>
      <c r="H457" s="17">
        <f t="shared" si="23"/>
        <v>8932.4748000000018</v>
      </c>
      <c r="I457" s="17">
        <v>668.25</v>
      </c>
      <c r="J457" s="17">
        <v>8932.4748000000018</v>
      </c>
      <c r="K457" s="17">
        <v>742.5</v>
      </c>
      <c r="L457" s="17">
        <v>11165.593500000001</v>
      </c>
      <c r="M457" s="346">
        <v>0.9</v>
      </c>
      <c r="N457" s="17">
        <v>5</v>
      </c>
      <c r="O457" s="346">
        <v>0.8</v>
      </c>
      <c r="P457" s="17">
        <v>10</v>
      </c>
    </row>
    <row r="458" spans="1:16">
      <c r="A458" s="10" t="str">
        <f t="shared" ca="1" si="21"/>
        <v/>
      </c>
      <c r="B458" s="65" t="s">
        <v>2127</v>
      </c>
      <c r="C458" s="350" t="s">
        <v>2319</v>
      </c>
      <c r="D458" s="10" t="s">
        <v>48</v>
      </c>
      <c r="E458" s="350" t="s">
        <v>608</v>
      </c>
      <c r="F458" s="352">
        <v>54</v>
      </c>
      <c r="G458" s="17">
        <f t="shared" si="22"/>
        <v>462</v>
      </c>
      <c r="H458" s="17">
        <f t="shared" si="23"/>
        <v>6513.2628749999985</v>
      </c>
      <c r="I458" s="17">
        <v>462</v>
      </c>
      <c r="J458" s="17">
        <v>6513.2628749999985</v>
      </c>
      <c r="K458" s="17">
        <v>577.5</v>
      </c>
      <c r="L458" s="17">
        <v>8684.3504999999986</v>
      </c>
      <c r="M458" s="346">
        <v>0.8</v>
      </c>
      <c r="N458" s="17">
        <v>4</v>
      </c>
      <c r="O458" s="346">
        <v>0.75</v>
      </c>
      <c r="P458" s="17">
        <v>4</v>
      </c>
    </row>
    <row r="459" spans="1:16">
      <c r="A459" s="10">
        <f t="shared" ca="1" si="21"/>
        <v>459</v>
      </c>
      <c r="B459" s="350" t="s">
        <v>2163</v>
      </c>
      <c r="C459" s="350" t="s">
        <v>2320</v>
      </c>
      <c r="D459" s="10" t="s">
        <v>50</v>
      </c>
      <c r="E459" s="350" t="s">
        <v>2321</v>
      </c>
      <c r="F459" s="350">
        <v>29</v>
      </c>
      <c r="G459" s="17">
        <f t="shared" si="22"/>
        <v>13.77</v>
      </c>
      <c r="H459" s="17">
        <f t="shared" si="23"/>
        <v>1.1872799999999999</v>
      </c>
      <c r="I459" s="17">
        <v>13.77</v>
      </c>
      <c r="J459" s="17">
        <v>1.1872799999999999</v>
      </c>
      <c r="K459" s="17">
        <v>18</v>
      </c>
      <c r="L459" s="17">
        <v>2.3279999999999998</v>
      </c>
      <c r="M459" s="346">
        <v>0.9</v>
      </c>
      <c r="N459" s="17">
        <v>1</v>
      </c>
      <c r="O459" s="346">
        <v>0.6</v>
      </c>
      <c r="P459" s="17">
        <v>2</v>
      </c>
    </row>
    <row r="460" spans="1:16">
      <c r="A460" s="10">
        <f t="shared" ca="1" si="21"/>
        <v>460</v>
      </c>
      <c r="B460" s="65" t="s">
        <v>1943</v>
      </c>
      <c r="C460" s="350" t="s">
        <v>2099</v>
      </c>
      <c r="D460" s="10" t="s">
        <v>50</v>
      </c>
      <c r="E460" s="350" t="s">
        <v>2100</v>
      </c>
      <c r="F460" s="352">
        <v>54</v>
      </c>
      <c r="G460" s="17">
        <f t="shared" si="22"/>
        <v>19.889279999999999</v>
      </c>
      <c r="H460" s="17">
        <f t="shared" si="23"/>
        <v>97.3125</v>
      </c>
      <c r="I460" s="17">
        <v>19.889279999999999</v>
      </c>
      <c r="J460" s="17">
        <v>97.3125</v>
      </c>
      <c r="K460" s="17">
        <v>24.861599999999999</v>
      </c>
      <c r="L460" s="17">
        <v>129.75</v>
      </c>
      <c r="M460" s="346">
        <v>0.8</v>
      </c>
      <c r="N460" s="17">
        <v>4</v>
      </c>
      <c r="O460" s="346">
        <v>0.75</v>
      </c>
      <c r="P460" s="17">
        <v>4</v>
      </c>
    </row>
    <row r="461" spans="1:16">
      <c r="A461" s="10">
        <f t="shared" ca="1" si="21"/>
        <v>462</v>
      </c>
      <c r="B461" s="350" t="s">
        <v>2134</v>
      </c>
      <c r="C461" s="350" t="s">
        <v>2322</v>
      </c>
      <c r="D461" s="10" t="s">
        <v>48</v>
      </c>
      <c r="E461" s="350" t="s">
        <v>606</v>
      </c>
      <c r="F461" s="350">
        <v>52</v>
      </c>
      <c r="G461" s="17">
        <f t="shared" si="22"/>
        <v>25.6</v>
      </c>
      <c r="H461" s="17">
        <f t="shared" si="23"/>
        <v>524.71500000000003</v>
      </c>
      <c r="I461" s="17">
        <v>25.6</v>
      </c>
      <c r="J461" s="17">
        <v>524.71500000000003</v>
      </c>
      <c r="K461" s="17">
        <v>32</v>
      </c>
      <c r="L461" s="17">
        <v>1049.43</v>
      </c>
      <c r="M461" s="346">
        <v>0.8</v>
      </c>
      <c r="N461" s="17">
        <v>2</v>
      </c>
      <c r="O461" s="346">
        <v>0.5</v>
      </c>
      <c r="P461" s="17">
        <v>4</v>
      </c>
    </row>
    <row r="462" spans="1:16">
      <c r="A462" s="10" t="str">
        <f t="shared" ca="1" si="21"/>
        <v/>
      </c>
      <c r="B462" s="350" t="s">
        <v>2134</v>
      </c>
      <c r="C462" s="350" t="s">
        <v>2323</v>
      </c>
      <c r="D462" s="10" t="s">
        <v>48</v>
      </c>
      <c r="E462" s="350" t="s">
        <v>607</v>
      </c>
      <c r="F462" s="350">
        <v>52</v>
      </c>
      <c r="G462" s="17">
        <f t="shared" si="22"/>
        <v>25.6</v>
      </c>
      <c r="H462" s="17">
        <f t="shared" si="23"/>
        <v>524.71500000000003</v>
      </c>
      <c r="I462" s="17">
        <v>25.6</v>
      </c>
      <c r="J462" s="17">
        <v>524.71500000000003</v>
      </c>
      <c r="K462" s="17">
        <v>32</v>
      </c>
      <c r="L462" s="17">
        <v>1049.43</v>
      </c>
      <c r="M462" s="346">
        <v>0.8</v>
      </c>
      <c r="N462" s="17">
        <v>2</v>
      </c>
      <c r="O462" s="346">
        <v>0.5</v>
      </c>
      <c r="P462" s="17">
        <v>4</v>
      </c>
    </row>
    <row r="463" spans="1:16">
      <c r="A463" s="10">
        <f t="shared" ca="1" si="21"/>
        <v>463</v>
      </c>
      <c r="B463" s="65" t="s">
        <v>649</v>
      </c>
      <c r="C463" s="350" t="s">
        <v>905</v>
      </c>
      <c r="D463" s="10" t="s">
        <v>53</v>
      </c>
      <c r="E463" s="350" t="s">
        <v>655</v>
      </c>
      <c r="F463" s="352">
        <v>56</v>
      </c>
      <c r="G463" s="17">
        <f t="shared" si="22"/>
        <v>2240.0000000000005</v>
      </c>
      <c r="H463" s="17">
        <f t="shared" si="23"/>
        <v>0</v>
      </c>
      <c r="I463" s="17">
        <v>2240.0000000000005</v>
      </c>
      <c r="J463" s="17">
        <v>0</v>
      </c>
      <c r="K463" s="17">
        <v>2800.0000000000005</v>
      </c>
      <c r="L463" s="17">
        <v>7913.3099999999995</v>
      </c>
      <c r="M463" s="346">
        <v>0.8</v>
      </c>
      <c r="N463" s="17">
        <v>5</v>
      </c>
      <c r="O463" s="346">
        <v>0</v>
      </c>
      <c r="P463" s="17">
        <v>4</v>
      </c>
    </row>
    <row r="464" spans="1:16">
      <c r="A464" s="10">
        <f t="shared" ca="1" si="21"/>
        <v>464</v>
      </c>
      <c r="B464" s="65" t="s">
        <v>1946</v>
      </c>
      <c r="C464" s="350" t="s">
        <v>2101</v>
      </c>
      <c r="D464" s="10" t="s">
        <v>52</v>
      </c>
      <c r="E464" s="350" t="s">
        <v>2102</v>
      </c>
      <c r="F464" s="352">
        <v>42</v>
      </c>
      <c r="G464" s="17">
        <f t="shared" si="22"/>
        <v>289.93619999999999</v>
      </c>
      <c r="H464" s="17">
        <f t="shared" si="23"/>
        <v>2803.2240000000006</v>
      </c>
      <c r="I464" s="17">
        <v>289.93619999999999</v>
      </c>
      <c r="J464" s="17">
        <v>2803.2240000000006</v>
      </c>
      <c r="K464" s="17">
        <v>2416.1349999999998</v>
      </c>
      <c r="L464" s="17">
        <v>23360.200000000004</v>
      </c>
      <c r="M464" s="346">
        <v>0.12</v>
      </c>
      <c r="N464" s="17">
        <v>5</v>
      </c>
      <c r="O464" s="346">
        <v>0.12</v>
      </c>
      <c r="P464" s="17">
        <v>6</v>
      </c>
    </row>
    <row r="465" spans="1:16">
      <c r="A465" s="10">
        <f t="shared" ca="1" si="21"/>
        <v>465</v>
      </c>
      <c r="B465" s="65" t="s">
        <v>652</v>
      </c>
      <c r="C465" s="350" t="s">
        <v>906</v>
      </c>
      <c r="D465" s="10" t="s">
        <v>53</v>
      </c>
      <c r="E465" s="350" t="s">
        <v>669</v>
      </c>
      <c r="F465" s="352">
        <v>23</v>
      </c>
      <c r="G465" s="17">
        <f t="shared" si="22"/>
        <v>13.958874999999999</v>
      </c>
      <c r="H465" s="17">
        <f t="shared" si="23"/>
        <v>565.41624999999988</v>
      </c>
      <c r="I465" s="17">
        <v>13.958874999999999</v>
      </c>
      <c r="J465" s="17">
        <v>565.41624999999988</v>
      </c>
      <c r="K465" s="17">
        <v>39.8825</v>
      </c>
      <c r="L465" s="17">
        <v>1615.4749999999999</v>
      </c>
      <c r="M465" s="346">
        <v>0.5</v>
      </c>
      <c r="N465" s="17">
        <v>3</v>
      </c>
      <c r="O465" s="346">
        <v>0.5</v>
      </c>
      <c r="P465" s="17">
        <v>7</v>
      </c>
    </row>
    <row r="466" spans="1:16">
      <c r="A466" s="10">
        <f t="shared" ca="1" si="21"/>
        <v>466</v>
      </c>
      <c r="B466" s="350" t="s">
        <v>2135</v>
      </c>
      <c r="C466" s="350" t="s">
        <v>2324</v>
      </c>
      <c r="D466" s="10" t="s">
        <v>49</v>
      </c>
      <c r="E466" s="350" t="s">
        <v>609</v>
      </c>
      <c r="F466" s="350">
        <v>51</v>
      </c>
      <c r="G466" s="17">
        <f t="shared" si="22"/>
        <v>12.96</v>
      </c>
      <c r="H466" s="17">
        <f t="shared" si="23"/>
        <v>342.62208000000004</v>
      </c>
      <c r="I466" s="17">
        <v>12.96</v>
      </c>
      <c r="J466" s="17">
        <v>342.62208000000004</v>
      </c>
      <c r="K466" s="17">
        <v>14.4</v>
      </c>
      <c r="L466" s="17">
        <v>571.03680000000008</v>
      </c>
      <c r="M466" s="346">
        <v>0.9</v>
      </c>
      <c r="N466" s="17">
        <v>2</v>
      </c>
      <c r="O466" s="346">
        <v>0.6</v>
      </c>
      <c r="P466" s="17">
        <v>4</v>
      </c>
    </row>
    <row r="467" spans="1:16">
      <c r="A467" s="10">
        <f t="shared" ca="1" si="21"/>
        <v>468</v>
      </c>
      <c r="B467" s="65" t="s">
        <v>268</v>
      </c>
      <c r="C467" s="350" t="s">
        <v>907</v>
      </c>
      <c r="D467" s="10" t="s">
        <v>53</v>
      </c>
      <c r="E467" s="351" t="s">
        <v>610</v>
      </c>
      <c r="F467" s="352">
        <v>49</v>
      </c>
      <c r="G467" s="17">
        <f t="shared" si="22"/>
        <v>1239.21</v>
      </c>
      <c r="H467" s="17">
        <f t="shared" si="23"/>
        <v>3167.36</v>
      </c>
      <c r="I467" s="17">
        <v>1239.21</v>
      </c>
      <c r="J467" s="17">
        <v>3167.36</v>
      </c>
      <c r="K467" s="17">
        <v>3540.6000000000004</v>
      </c>
      <c r="L467" s="17">
        <v>9049.6</v>
      </c>
      <c r="M467" s="346">
        <v>0.5</v>
      </c>
      <c r="N467" s="17">
        <v>6</v>
      </c>
      <c r="O467" s="346">
        <v>0.5</v>
      </c>
      <c r="P467" s="17">
        <v>6</v>
      </c>
    </row>
    <row r="468" spans="1:16">
      <c r="A468" s="10" t="str">
        <f t="shared" ca="1" si="21"/>
        <v/>
      </c>
      <c r="B468" s="65" t="s">
        <v>268</v>
      </c>
      <c r="C468" s="350" t="s">
        <v>2103</v>
      </c>
      <c r="D468" s="10" t="s">
        <v>53</v>
      </c>
      <c r="E468" s="350" t="s">
        <v>2104</v>
      </c>
      <c r="F468" s="352">
        <v>49</v>
      </c>
      <c r="G468" s="17">
        <f t="shared" si="22"/>
        <v>1239.21</v>
      </c>
      <c r="H468" s="17">
        <f t="shared" si="23"/>
        <v>3167.36</v>
      </c>
      <c r="I468" s="17">
        <v>1239.21</v>
      </c>
      <c r="J468" s="17">
        <v>3167.36</v>
      </c>
      <c r="K468" s="17">
        <v>3540.6000000000004</v>
      </c>
      <c r="L468" s="17">
        <v>9049.6</v>
      </c>
      <c r="M468" s="346">
        <v>0.5</v>
      </c>
      <c r="N468" s="17">
        <v>6</v>
      </c>
      <c r="O468" s="346">
        <v>0.5</v>
      </c>
      <c r="P468" s="17">
        <v>6</v>
      </c>
    </row>
    <row r="469" spans="1:16">
      <c r="A469" s="10">
        <f t="shared" ca="1" si="21"/>
        <v>469</v>
      </c>
      <c r="B469" s="65" t="s">
        <v>479</v>
      </c>
      <c r="C469" s="350" t="s">
        <v>908</v>
      </c>
      <c r="D469" s="10" t="s">
        <v>53</v>
      </c>
      <c r="E469" s="350" t="s">
        <v>611</v>
      </c>
      <c r="F469" s="352">
        <v>22</v>
      </c>
      <c r="G469" s="17">
        <f t="shared" si="22"/>
        <v>126.09</v>
      </c>
      <c r="H469" s="17">
        <f t="shared" si="23"/>
        <v>165.74399999999997</v>
      </c>
      <c r="I469" s="17">
        <v>126.09</v>
      </c>
      <c r="J469" s="17">
        <v>165.74399999999997</v>
      </c>
      <c r="K469" s="17">
        <v>420.3</v>
      </c>
      <c r="L469" s="17">
        <v>552.4799999999999</v>
      </c>
      <c r="M469" s="346">
        <v>0.6</v>
      </c>
      <c r="N469" s="17">
        <v>6</v>
      </c>
      <c r="O469" s="346">
        <v>0.6</v>
      </c>
      <c r="P469" s="17">
        <v>6</v>
      </c>
    </row>
  </sheetData>
  <sheetProtection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166"/>
  <sheetViews>
    <sheetView workbookViewId="0">
      <pane ySplit="1" topLeftCell="A2" activePane="bottomLeft" state="frozen"/>
      <selection pane="bottomLeft" activeCell="S21" sqref="S21"/>
    </sheetView>
  </sheetViews>
  <sheetFormatPr defaultColWidth="8.85546875" defaultRowHeight="15"/>
  <cols>
    <col min="2" max="2" width="54.5703125" customWidth="1"/>
    <col min="3" max="3" width="8.42578125" customWidth="1"/>
    <col min="4" max="4" width="29.140625" customWidth="1"/>
    <col min="5" max="5" width="9.42578125" customWidth="1"/>
    <col min="6" max="6" width="12.85546875" customWidth="1"/>
    <col min="7" max="8" width="14.42578125" customWidth="1"/>
    <col min="9" max="10" width="16" customWidth="1"/>
    <col min="11" max="18" width="15.85546875" customWidth="1"/>
    <col min="19" max="19" width="15.85546875" style="63" customWidth="1"/>
    <col min="20" max="20" width="18.42578125" customWidth="1"/>
    <col min="21" max="22" width="16.42578125" customWidth="1"/>
    <col min="23" max="23" width="11.85546875" customWidth="1"/>
    <col min="24" max="24" width="10.42578125" customWidth="1"/>
    <col min="25" max="25" width="13.140625" customWidth="1"/>
    <col min="26" max="26" width="14.85546875" customWidth="1"/>
  </cols>
  <sheetData>
    <row r="1" spans="2:22" ht="60">
      <c r="B1" s="4" t="s">
        <v>297</v>
      </c>
      <c r="C1" s="76" t="s">
        <v>988</v>
      </c>
      <c r="D1" s="4" t="s">
        <v>196</v>
      </c>
      <c r="E1" s="44" t="s">
        <v>2</v>
      </c>
      <c r="F1" s="43" t="s">
        <v>65</v>
      </c>
      <c r="G1" s="44" t="s">
        <v>909</v>
      </c>
      <c r="H1" s="43" t="s">
        <v>910</v>
      </c>
      <c r="I1" s="44" t="s">
        <v>911</v>
      </c>
      <c r="J1" s="43" t="s">
        <v>912</v>
      </c>
      <c r="K1" s="69" t="s">
        <v>974</v>
      </c>
      <c r="L1" s="69" t="s">
        <v>975</v>
      </c>
      <c r="M1" s="69" t="s">
        <v>976</v>
      </c>
      <c r="N1" s="69" t="s">
        <v>977</v>
      </c>
      <c r="O1" s="69" t="s">
        <v>978</v>
      </c>
      <c r="P1" s="69" t="s">
        <v>979</v>
      </c>
      <c r="Q1" s="69" t="s">
        <v>983</v>
      </c>
      <c r="R1" s="69" t="s">
        <v>984</v>
      </c>
      <c r="S1" s="77"/>
      <c r="T1" s="76" t="s">
        <v>989</v>
      </c>
      <c r="V1" s="67"/>
    </row>
    <row r="2" spans="2:22">
      <c r="B2" s="10" t="s">
        <v>266</v>
      </c>
      <c r="C2" s="10">
        <v>1</v>
      </c>
      <c r="D2" s="10" t="s">
        <v>46</v>
      </c>
      <c r="E2" s="17">
        <v>171.55627153725877</v>
      </c>
      <c r="F2" s="17">
        <v>197</v>
      </c>
      <c r="G2" s="17">
        <v>171.55627153725877</v>
      </c>
      <c r="H2" s="17">
        <v>197</v>
      </c>
      <c r="I2" s="17">
        <v>102.17205794281688</v>
      </c>
      <c r="J2" s="17">
        <v>0</v>
      </c>
      <c r="K2" s="346">
        <v>0.75556012048448884</v>
      </c>
      <c r="L2" s="346">
        <v>0</v>
      </c>
      <c r="M2" s="346">
        <v>5.1690650197426122E-2</v>
      </c>
      <c r="N2" s="346">
        <v>0</v>
      </c>
      <c r="O2" s="346">
        <v>0.19274922931808502</v>
      </c>
      <c r="P2" s="346">
        <v>0</v>
      </c>
      <c r="Q2" s="346">
        <v>1</v>
      </c>
      <c r="R2" s="346">
        <v>1</v>
      </c>
    </row>
    <row r="3" spans="2:22">
      <c r="B3" s="10" t="s">
        <v>210</v>
      </c>
      <c r="C3" s="10">
        <v>1</v>
      </c>
      <c r="D3" s="10" t="s">
        <v>46</v>
      </c>
      <c r="E3" s="17">
        <v>5646.2556361725674</v>
      </c>
      <c r="F3" s="17">
        <v>22601</v>
      </c>
      <c r="G3" s="17">
        <v>5646.2556361725674</v>
      </c>
      <c r="H3" s="17">
        <v>22601</v>
      </c>
      <c r="I3" s="17">
        <v>1572.8970510162271</v>
      </c>
      <c r="J3" s="17">
        <v>0</v>
      </c>
      <c r="K3" s="346">
        <v>0.37108440838737611</v>
      </c>
      <c r="L3" s="346">
        <v>0</v>
      </c>
      <c r="M3" s="346">
        <v>0.1527865841205274</v>
      </c>
      <c r="N3" s="346">
        <v>0</v>
      </c>
      <c r="O3" s="346">
        <v>0.47612900749209663</v>
      </c>
      <c r="P3" s="346">
        <v>0</v>
      </c>
      <c r="Q3" s="346">
        <v>1</v>
      </c>
      <c r="R3" s="346">
        <v>1</v>
      </c>
    </row>
    <row r="4" spans="2:22">
      <c r="B4" s="10" t="s">
        <v>217</v>
      </c>
      <c r="C4" s="10">
        <v>1</v>
      </c>
      <c r="D4" s="10" t="s">
        <v>46</v>
      </c>
      <c r="E4" s="17">
        <v>15593.234248521097</v>
      </c>
      <c r="F4" s="17">
        <v>38504</v>
      </c>
      <c r="G4" s="17">
        <v>15593.234248521097</v>
      </c>
      <c r="H4" s="17">
        <v>38504</v>
      </c>
      <c r="I4" s="17">
        <v>10410.405957979501</v>
      </c>
      <c r="J4" s="17">
        <v>0</v>
      </c>
      <c r="K4" s="346">
        <v>0.76553801141404232</v>
      </c>
      <c r="L4" s="346">
        <v>0</v>
      </c>
      <c r="M4" s="346">
        <v>3.7098653101709123E-2</v>
      </c>
      <c r="N4" s="346">
        <v>0</v>
      </c>
      <c r="O4" s="346">
        <v>0.19736333548424853</v>
      </c>
      <c r="P4" s="346">
        <v>0</v>
      </c>
      <c r="Q4" s="346">
        <v>1</v>
      </c>
      <c r="R4" s="346">
        <v>1</v>
      </c>
    </row>
    <row r="5" spans="2:22">
      <c r="B5" s="10" t="s">
        <v>226</v>
      </c>
      <c r="C5" s="10">
        <v>1</v>
      </c>
      <c r="D5" s="10" t="s">
        <v>46</v>
      </c>
      <c r="E5" s="17">
        <v>16699.184530945935</v>
      </c>
      <c r="F5" s="17">
        <v>78748</v>
      </c>
      <c r="G5" s="17">
        <v>16699.184530945935</v>
      </c>
      <c r="H5" s="17">
        <v>78748</v>
      </c>
      <c r="I5" s="17">
        <v>2107.3764768097735</v>
      </c>
      <c r="J5" s="17">
        <v>0</v>
      </c>
      <c r="K5" s="346">
        <v>0.89826670951278953</v>
      </c>
      <c r="L5" s="346">
        <v>0</v>
      </c>
      <c r="M5" s="346">
        <v>1.3733287462722026E-2</v>
      </c>
      <c r="N5" s="346">
        <v>0</v>
      </c>
      <c r="O5" s="346">
        <v>8.8000003024488266E-2</v>
      </c>
      <c r="P5" s="346">
        <v>0</v>
      </c>
      <c r="Q5" s="346">
        <v>1</v>
      </c>
      <c r="R5" s="346">
        <v>1</v>
      </c>
    </row>
    <row r="6" spans="2:22">
      <c r="B6" s="10" t="s">
        <v>1930</v>
      </c>
      <c r="C6" s="10">
        <v>1</v>
      </c>
      <c r="D6" s="10" t="s">
        <v>46</v>
      </c>
      <c r="E6" s="17">
        <v>100</v>
      </c>
      <c r="F6" s="17">
        <v>500</v>
      </c>
      <c r="G6" s="17">
        <v>100</v>
      </c>
      <c r="H6" s="17">
        <v>500</v>
      </c>
      <c r="I6" s="17">
        <v>45</v>
      </c>
      <c r="J6" s="17">
        <v>0</v>
      </c>
      <c r="K6" s="346">
        <v>0.3</v>
      </c>
      <c r="L6" s="346">
        <v>0</v>
      </c>
      <c r="M6" s="346">
        <v>0.02</v>
      </c>
      <c r="N6" s="346">
        <v>0</v>
      </c>
      <c r="O6" s="346">
        <v>0.68</v>
      </c>
      <c r="P6" s="346">
        <v>0</v>
      </c>
      <c r="Q6" s="346">
        <v>1</v>
      </c>
      <c r="R6" s="346">
        <v>1</v>
      </c>
      <c r="S6" s="360"/>
    </row>
    <row r="7" spans="2:22">
      <c r="B7" s="10" t="s">
        <v>269</v>
      </c>
      <c r="C7" s="10">
        <v>1</v>
      </c>
      <c r="D7" s="10" t="s">
        <v>46</v>
      </c>
      <c r="E7" s="17">
        <v>1168.8080732802523</v>
      </c>
      <c r="F7" s="17">
        <v>5139.1481726418133</v>
      </c>
      <c r="G7" s="17">
        <v>1168.8080732802523</v>
      </c>
      <c r="H7" s="17">
        <v>5139.1481726418133</v>
      </c>
      <c r="I7" s="17">
        <v>322.07940742884375</v>
      </c>
      <c r="J7" s="17">
        <v>0</v>
      </c>
      <c r="K7" s="346">
        <v>0.79937679307217235</v>
      </c>
      <c r="L7" s="346">
        <v>0</v>
      </c>
      <c r="M7" s="346">
        <v>2.6820108464888585E-2</v>
      </c>
      <c r="N7" s="346">
        <v>0</v>
      </c>
      <c r="O7" s="346">
        <v>0.17380309846293901</v>
      </c>
      <c r="P7" s="346">
        <v>0</v>
      </c>
      <c r="Q7" s="346">
        <v>1</v>
      </c>
      <c r="R7" s="346">
        <v>1</v>
      </c>
    </row>
    <row r="8" spans="2:22">
      <c r="B8" s="10" t="s">
        <v>251</v>
      </c>
      <c r="C8" s="10">
        <v>1</v>
      </c>
      <c r="D8" s="10" t="s">
        <v>46</v>
      </c>
      <c r="E8" s="17">
        <v>88590.648133209412</v>
      </c>
      <c r="F8" s="17">
        <v>455933.89077637909</v>
      </c>
      <c r="G8" s="17">
        <v>88590.648133209412</v>
      </c>
      <c r="H8" s="17">
        <v>455933.89077637909</v>
      </c>
      <c r="I8" s="17">
        <v>41407.051902777814</v>
      </c>
      <c r="J8" s="17">
        <v>0</v>
      </c>
      <c r="K8" s="346">
        <v>0.74117257346092913</v>
      </c>
      <c r="L8" s="346">
        <v>0</v>
      </c>
      <c r="M8" s="346">
        <v>3.6030915533194069E-2</v>
      </c>
      <c r="N8" s="346">
        <v>0</v>
      </c>
      <c r="O8" s="346">
        <v>0.22279651100587683</v>
      </c>
      <c r="P8" s="346">
        <v>0</v>
      </c>
      <c r="Q8" s="346">
        <v>1</v>
      </c>
      <c r="R8" s="346">
        <v>1</v>
      </c>
    </row>
    <row r="9" spans="2:22">
      <c r="B9" s="10" t="s">
        <v>2132</v>
      </c>
      <c r="C9" s="10">
        <v>1</v>
      </c>
      <c r="D9" s="10" t="s">
        <v>46</v>
      </c>
      <c r="E9" s="17">
        <v>1098.2921304476056</v>
      </c>
      <c r="F9" s="17">
        <v>5057.598469482391</v>
      </c>
      <c r="G9" s="17">
        <v>1098.2921304476056</v>
      </c>
      <c r="H9" s="17">
        <v>5057.598469482391</v>
      </c>
      <c r="I9" s="17">
        <v>342.68457619387641</v>
      </c>
      <c r="J9" s="17">
        <v>0</v>
      </c>
      <c r="K9" s="346">
        <v>0.51710802892302732</v>
      </c>
      <c r="L9" s="346">
        <v>0</v>
      </c>
      <c r="M9" s="346">
        <v>8.3046559960212596E-2</v>
      </c>
      <c r="N9" s="346">
        <v>0</v>
      </c>
      <c r="O9" s="346">
        <v>0.39984541111676014</v>
      </c>
      <c r="P9" s="346">
        <v>0</v>
      </c>
      <c r="Q9" s="346">
        <v>1</v>
      </c>
      <c r="R9" s="346">
        <v>1</v>
      </c>
    </row>
    <row r="10" spans="2:22">
      <c r="B10" s="10" t="s">
        <v>257</v>
      </c>
      <c r="C10" s="10">
        <v>1</v>
      </c>
      <c r="D10" s="10" t="s">
        <v>46</v>
      </c>
      <c r="E10" s="17">
        <v>27551.841457915074</v>
      </c>
      <c r="F10" s="17">
        <v>98944.942435995035</v>
      </c>
      <c r="G10" s="17">
        <v>27551.841457915074</v>
      </c>
      <c r="H10" s="17">
        <v>98944.942435995035</v>
      </c>
      <c r="I10" s="17">
        <v>9212.8490803148034</v>
      </c>
      <c r="J10" s="17">
        <v>0</v>
      </c>
      <c r="K10" s="346">
        <v>0.77015551087102097</v>
      </c>
      <c r="L10" s="346">
        <v>0</v>
      </c>
      <c r="M10" s="346">
        <v>3.1666445277581425E-2</v>
      </c>
      <c r="N10" s="346">
        <v>0</v>
      </c>
      <c r="O10" s="346">
        <v>0.19817804385139765</v>
      </c>
      <c r="P10" s="346">
        <v>0</v>
      </c>
      <c r="Q10" s="346">
        <v>1</v>
      </c>
      <c r="R10" s="346">
        <v>1</v>
      </c>
    </row>
    <row r="11" spans="2:22">
      <c r="B11" s="10" t="s">
        <v>2142</v>
      </c>
      <c r="C11" s="10">
        <v>1</v>
      </c>
      <c r="D11" s="10" t="s">
        <v>46</v>
      </c>
      <c r="E11" s="17">
        <v>12433.387479401148</v>
      </c>
      <c r="F11" s="17">
        <v>55504.011829778123</v>
      </c>
      <c r="G11" s="17">
        <v>12433.387479401148</v>
      </c>
      <c r="H11" s="17">
        <v>55504.011829778123</v>
      </c>
      <c r="I11" s="17">
        <v>1512.9205506230376</v>
      </c>
      <c r="J11" s="17">
        <v>0</v>
      </c>
      <c r="K11" s="346">
        <v>0.80057425726675713</v>
      </c>
      <c r="L11" s="346">
        <v>0</v>
      </c>
      <c r="M11" s="346">
        <v>2.7635480662177997E-2</v>
      </c>
      <c r="N11" s="346">
        <v>0</v>
      </c>
      <c r="O11" s="346">
        <v>0.17179026207106479</v>
      </c>
      <c r="P11" s="346">
        <v>0</v>
      </c>
      <c r="Q11" s="346">
        <v>1</v>
      </c>
      <c r="R11" s="346">
        <v>1</v>
      </c>
    </row>
    <row r="12" spans="2:22">
      <c r="B12" s="10" t="s">
        <v>2145</v>
      </c>
      <c r="C12" s="10">
        <v>1</v>
      </c>
      <c r="D12" s="10" t="s">
        <v>46</v>
      </c>
      <c r="E12" s="17">
        <v>3321.3644224517166</v>
      </c>
      <c r="F12" s="17">
        <v>12291.324607555267</v>
      </c>
      <c r="G12" s="17">
        <v>3321.3644224517166</v>
      </c>
      <c r="H12" s="17">
        <v>12291.324607555267</v>
      </c>
      <c r="I12" s="17">
        <v>1156.0706927449044</v>
      </c>
      <c r="J12" s="17">
        <v>0</v>
      </c>
      <c r="K12" s="346">
        <v>0.81551556521484958</v>
      </c>
      <c r="L12" s="346">
        <v>0</v>
      </c>
      <c r="M12" s="346">
        <v>2.3302363963594686E-2</v>
      </c>
      <c r="N12" s="346">
        <v>0</v>
      </c>
      <c r="O12" s="346">
        <v>0.16118207082155556</v>
      </c>
      <c r="P12" s="346">
        <v>0</v>
      </c>
      <c r="Q12" s="346">
        <v>1</v>
      </c>
      <c r="R12" s="346">
        <v>1</v>
      </c>
    </row>
    <row r="13" spans="2:22">
      <c r="B13" s="10" t="s">
        <v>2147</v>
      </c>
      <c r="C13" s="10">
        <v>1</v>
      </c>
      <c r="D13" s="10" t="s">
        <v>46</v>
      </c>
      <c r="E13" s="17">
        <v>7404.7432346607256</v>
      </c>
      <c r="F13" s="17">
        <v>30000</v>
      </c>
      <c r="G13" s="17">
        <v>7404.7432346607256</v>
      </c>
      <c r="H13" s="17">
        <v>30000</v>
      </c>
      <c r="I13" s="17">
        <v>654.24103961339426</v>
      </c>
      <c r="J13" s="17">
        <v>0</v>
      </c>
      <c r="K13" s="346">
        <v>0.86595186333098695</v>
      </c>
      <c r="L13" s="346">
        <v>0</v>
      </c>
      <c r="M13" s="346">
        <v>1.7493723842737154E-2</v>
      </c>
      <c r="N13" s="346">
        <v>0</v>
      </c>
      <c r="O13" s="346">
        <v>0.11655441282627586</v>
      </c>
      <c r="P13" s="346">
        <v>0</v>
      </c>
      <c r="Q13" s="346">
        <v>1</v>
      </c>
      <c r="R13" s="346">
        <v>1</v>
      </c>
    </row>
    <row r="14" spans="2:22">
      <c r="B14" s="10" t="s">
        <v>2149</v>
      </c>
      <c r="C14" s="10">
        <v>1</v>
      </c>
      <c r="D14" s="10" t="s">
        <v>46</v>
      </c>
      <c r="E14" s="17">
        <v>20630.056494836666</v>
      </c>
      <c r="F14" s="17">
        <v>5000</v>
      </c>
      <c r="G14" s="17">
        <v>20630.056494836666</v>
      </c>
      <c r="H14" s="17">
        <v>5000</v>
      </c>
      <c r="I14" s="17">
        <v>2629.3421722957578</v>
      </c>
      <c r="J14" s="17">
        <v>0</v>
      </c>
      <c r="K14" s="346">
        <v>0.89075286974609946</v>
      </c>
      <c r="L14" s="346">
        <v>0</v>
      </c>
      <c r="M14" s="346">
        <v>1.4122013994161332E-2</v>
      </c>
      <c r="N14" s="346">
        <v>0</v>
      </c>
      <c r="O14" s="346">
        <v>9.5125116259739212E-2</v>
      </c>
      <c r="P14" s="346">
        <v>0</v>
      </c>
      <c r="Q14" s="346">
        <v>1</v>
      </c>
      <c r="R14" s="346">
        <v>1</v>
      </c>
    </row>
    <row r="15" spans="2:22">
      <c r="B15" s="10" t="s">
        <v>243</v>
      </c>
      <c r="C15" s="10">
        <v>1</v>
      </c>
      <c r="D15" s="10" t="s">
        <v>46</v>
      </c>
      <c r="E15" s="17">
        <v>7259.8446393940221</v>
      </c>
      <c r="F15" s="17">
        <v>39073.190421372594</v>
      </c>
      <c r="G15" s="17">
        <v>7259.8446393940221</v>
      </c>
      <c r="H15" s="17">
        <v>39073.190421372594</v>
      </c>
      <c r="I15" s="17">
        <v>753.25933302076612</v>
      </c>
      <c r="J15" s="17">
        <v>0</v>
      </c>
      <c r="K15" s="346">
        <v>0.63425498544586734</v>
      </c>
      <c r="L15" s="346">
        <v>0</v>
      </c>
      <c r="M15" s="346">
        <v>6.3908770996672817E-2</v>
      </c>
      <c r="N15" s="346">
        <v>0</v>
      </c>
      <c r="O15" s="346">
        <v>0.3018362435574598</v>
      </c>
      <c r="P15" s="346">
        <v>0</v>
      </c>
      <c r="Q15" s="346">
        <v>1</v>
      </c>
      <c r="R15" s="346">
        <v>1</v>
      </c>
    </row>
    <row r="16" spans="2:22">
      <c r="B16" s="10" t="s">
        <v>466</v>
      </c>
      <c r="C16" s="10">
        <v>1</v>
      </c>
      <c r="D16" s="10" t="s">
        <v>46</v>
      </c>
      <c r="E16" s="17">
        <v>234.04672812541725</v>
      </c>
      <c r="F16" s="17">
        <v>500</v>
      </c>
      <c r="G16" s="17">
        <v>234.04672812541725</v>
      </c>
      <c r="H16" s="17">
        <v>500</v>
      </c>
      <c r="I16" s="17">
        <v>119.04496462942465</v>
      </c>
      <c r="J16" s="17">
        <v>0</v>
      </c>
      <c r="K16" s="346">
        <v>0.51080199783362601</v>
      </c>
      <c r="L16" s="346">
        <v>0</v>
      </c>
      <c r="M16" s="346">
        <v>7.2543912173388098E-2</v>
      </c>
      <c r="N16" s="346">
        <v>0</v>
      </c>
      <c r="O16" s="346">
        <v>0.41665408999298592</v>
      </c>
      <c r="P16" s="346">
        <v>0</v>
      </c>
      <c r="Q16" s="346">
        <v>1</v>
      </c>
      <c r="R16" s="346">
        <v>1</v>
      </c>
    </row>
    <row r="17" spans="2:19">
      <c r="B17" s="10" t="s">
        <v>271</v>
      </c>
      <c r="C17" s="10">
        <v>1</v>
      </c>
      <c r="D17" s="10" t="s">
        <v>46</v>
      </c>
      <c r="E17" s="17">
        <v>8287.9224528282757</v>
      </c>
      <c r="F17" s="17">
        <v>31086.205964303354</v>
      </c>
      <c r="G17" s="17">
        <v>8287.9224528282757</v>
      </c>
      <c r="H17" s="17">
        <v>31086.205964303354</v>
      </c>
      <c r="I17" s="17">
        <v>2340.7601364657498</v>
      </c>
      <c r="J17" s="17">
        <v>0</v>
      </c>
      <c r="K17" s="346">
        <v>0.63213492219829914</v>
      </c>
      <c r="L17" s="346">
        <v>0</v>
      </c>
      <c r="M17" s="346">
        <v>6.2951072448364911E-2</v>
      </c>
      <c r="N17" s="346">
        <v>0</v>
      </c>
      <c r="O17" s="346">
        <v>0.30491400535333607</v>
      </c>
      <c r="P17" s="346">
        <v>0</v>
      </c>
      <c r="Q17" s="346">
        <v>1</v>
      </c>
      <c r="R17" s="346">
        <v>1</v>
      </c>
    </row>
    <row r="18" spans="2:19">
      <c r="B18" s="10" t="s">
        <v>273</v>
      </c>
      <c r="C18" s="10">
        <v>1</v>
      </c>
      <c r="D18" s="10" t="s">
        <v>46</v>
      </c>
      <c r="E18" s="17">
        <v>24970.565048702607</v>
      </c>
      <c r="F18" s="17">
        <v>84899.077264538064</v>
      </c>
      <c r="G18" s="17">
        <v>24970.565048702607</v>
      </c>
      <c r="H18" s="17">
        <v>84899.077264538064</v>
      </c>
      <c r="I18" s="17">
        <v>9374.1287810618815</v>
      </c>
      <c r="J18" s="17">
        <v>0</v>
      </c>
      <c r="K18" s="346">
        <v>0.78642107549461004</v>
      </c>
      <c r="L18" s="346">
        <v>0</v>
      </c>
      <c r="M18" s="346">
        <v>2.7780058981603583E-2</v>
      </c>
      <c r="N18" s="346">
        <v>0</v>
      </c>
      <c r="O18" s="346">
        <v>0.18579886552378636</v>
      </c>
      <c r="P18" s="346">
        <v>0</v>
      </c>
      <c r="Q18" s="346">
        <v>1</v>
      </c>
      <c r="R18" s="346">
        <v>1</v>
      </c>
    </row>
    <row r="19" spans="2:19">
      <c r="B19" s="10" t="s">
        <v>275</v>
      </c>
      <c r="C19" s="10">
        <v>1</v>
      </c>
      <c r="D19" s="10" t="s">
        <v>46</v>
      </c>
      <c r="E19" s="17">
        <v>14404.732462390384</v>
      </c>
      <c r="F19" s="17">
        <v>0</v>
      </c>
      <c r="G19" s="356">
        <v>14404.732462390384</v>
      </c>
      <c r="H19" s="356">
        <v>0</v>
      </c>
      <c r="I19" s="17">
        <v>6482.5614517776348</v>
      </c>
      <c r="J19" s="17">
        <v>0</v>
      </c>
      <c r="K19" s="346">
        <v>0.89237953386846847</v>
      </c>
      <c r="L19" s="346">
        <v>0</v>
      </c>
      <c r="M19" s="346">
        <v>1.4518871637191818E-2</v>
      </c>
      <c r="N19" s="346">
        <v>0</v>
      </c>
      <c r="O19" s="346">
        <v>9.3101594494339662E-2</v>
      </c>
      <c r="P19" s="346">
        <v>0</v>
      </c>
      <c r="Q19" s="346">
        <v>1</v>
      </c>
      <c r="R19" s="346">
        <v>1</v>
      </c>
    </row>
    <row r="20" spans="2:19">
      <c r="B20" s="10" t="s">
        <v>274</v>
      </c>
      <c r="C20" s="10">
        <v>1</v>
      </c>
      <c r="D20" s="10" t="s">
        <v>47</v>
      </c>
      <c r="E20" s="17">
        <v>7675.616998624896</v>
      </c>
      <c r="F20" s="17">
        <v>22499</v>
      </c>
      <c r="G20" s="17">
        <v>7675.616998624896</v>
      </c>
      <c r="H20" s="17">
        <v>22499</v>
      </c>
      <c r="I20" s="17">
        <v>2038.5985913060406</v>
      </c>
      <c r="J20" s="17">
        <v>0</v>
      </c>
      <c r="K20" s="346">
        <v>0.60761350771720124</v>
      </c>
      <c r="L20" s="346">
        <v>0</v>
      </c>
      <c r="M20" s="346">
        <v>5.1954001514174508E-2</v>
      </c>
      <c r="N20" s="346">
        <v>0</v>
      </c>
      <c r="O20" s="346">
        <v>0.34043249076862436</v>
      </c>
      <c r="P20" s="346">
        <v>0</v>
      </c>
      <c r="Q20" s="346">
        <v>1</v>
      </c>
      <c r="R20" s="346">
        <v>1</v>
      </c>
    </row>
    <row r="21" spans="2:19">
      <c r="B21" s="10" t="s">
        <v>465</v>
      </c>
      <c r="C21" s="10">
        <v>1</v>
      </c>
      <c r="D21" s="10" t="s">
        <v>47</v>
      </c>
      <c r="E21" s="17">
        <v>17493.651321441706</v>
      </c>
      <c r="F21" s="17">
        <v>35601</v>
      </c>
      <c r="G21" s="17">
        <v>17493.651321441706</v>
      </c>
      <c r="H21" s="17">
        <v>35601</v>
      </c>
      <c r="I21" s="17">
        <v>12894.430858079641</v>
      </c>
      <c r="J21" s="17">
        <v>0</v>
      </c>
      <c r="K21" s="346">
        <v>0.72828769985268726</v>
      </c>
      <c r="L21" s="346">
        <v>0</v>
      </c>
      <c r="M21" s="346">
        <v>3.568476500323637E-2</v>
      </c>
      <c r="N21" s="346">
        <v>0</v>
      </c>
      <c r="O21" s="346">
        <v>0.23602753514407648</v>
      </c>
      <c r="P21" s="346">
        <v>0</v>
      </c>
      <c r="Q21" s="346">
        <v>1</v>
      </c>
      <c r="R21" s="346">
        <v>1</v>
      </c>
    </row>
    <row r="22" spans="2:19">
      <c r="B22" s="10" t="s">
        <v>288</v>
      </c>
      <c r="C22" s="10">
        <v>1</v>
      </c>
      <c r="D22" s="10" t="s">
        <v>47</v>
      </c>
      <c r="E22" s="17">
        <v>71543.605489090449</v>
      </c>
      <c r="F22" s="17">
        <v>294575</v>
      </c>
      <c r="G22" s="17">
        <v>71543.605489090449</v>
      </c>
      <c r="H22" s="17">
        <v>294575</v>
      </c>
      <c r="I22" s="17">
        <v>15331.728015975033</v>
      </c>
      <c r="J22" s="17">
        <v>0</v>
      </c>
      <c r="K22" s="346">
        <v>0.85822652520258358</v>
      </c>
      <c r="L22" s="346">
        <v>0</v>
      </c>
      <c r="M22" s="346">
        <v>1.8414087186215816E-2</v>
      </c>
      <c r="N22" s="346">
        <v>0</v>
      </c>
      <c r="O22" s="346">
        <v>0.12335938761120058</v>
      </c>
      <c r="P22" s="346">
        <v>0</v>
      </c>
      <c r="Q22" s="346">
        <v>1</v>
      </c>
      <c r="R22" s="346">
        <v>1</v>
      </c>
    </row>
    <row r="23" spans="2:19">
      <c r="B23" s="10" t="s">
        <v>211</v>
      </c>
      <c r="C23" s="10">
        <v>1</v>
      </c>
      <c r="D23" s="10" t="s">
        <v>47</v>
      </c>
      <c r="E23" s="17">
        <v>21383.365922566503</v>
      </c>
      <c r="F23" s="17">
        <v>56814</v>
      </c>
      <c r="G23" s="17">
        <v>21383.365922566503</v>
      </c>
      <c r="H23" s="17">
        <v>56814</v>
      </c>
      <c r="I23" s="17">
        <v>14241.503240508906</v>
      </c>
      <c r="J23" s="17">
        <v>0</v>
      </c>
      <c r="K23" s="346">
        <v>0.57322408413682446</v>
      </c>
      <c r="L23" s="346">
        <v>0</v>
      </c>
      <c r="M23" s="346">
        <v>7.0987229782437822E-2</v>
      </c>
      <c r="N23" s="346">
        <v>0</v>
      </c>
      <c r="O23" s="346">
        <v>0.35578868608073777</v>
      </c>
      <c r="P23" s="346">
        <v>0</v>
      </c>
      <c r="Q23" s="346">
        <v>1</v>
      </c>
      <c r="R23" s="346">
        <v>1</v>
      </c>
    </row>
    <row r="24" spans="2:19">
      <c r="B24" s="10" t="s">
        <v>244</v>
      </c>
      <c r="C24" s="10">
        <v>1</v>
      </c>
      <c r="D24" s="10" t="s">
        <v>47</v>
      </c>
      <c r="E24" s="17">
        <v>262384.48937901249</v>
      </c>
      <c r="F24" s="17">
        <v>1120986</v>
      </c>
      <c r="G24" s="17">
        <v>262384.48937901249</v>
      </c>
      <c r="H24" s="17">
        <v>1120986</v>
      </c>
      <c r="I24" s="17">
        <v>27177.113377233225</v>
      </c>
      <c r="J24" s="17">
        <v>0</v>
      </c>
      <c r="K24" s="346">
        <v>0.6061910572525232</v>
      </c>
      <c r="L24" s="346">
        <v>0</v>
      </c>
      <c r="M24" s="346">
        <v>5.4068812119559544E-2</v>
      </c>
      <c r="N24" s="346">
        <v>0</v>
      </c>
      <c r="O24" s="346">
        <v>0.33974013062791736</v>
      </c>
      <c r="P24" s="346">
        <v>0</v>
      </c>
      <c r="Q24" s="346">
        <v>1</v>
      </c>
      <c r="R24" s="346">
        <v>1</v>
      </c>
    </row>
    <row r="25" spans="2:19">
      <c r="B25" s="10" t="s">
        <v>260</v>
      </c>
      <c r="C25" s="10">
        <v>1</v>
      </c>
      <c r="D25" s="10" t="s">
        <v>47</v>
      </c>
      <c r="E25" s="17">
        <v>12849.329617810257</v>
      </c>
      <c r="F25" s="17">
        <v>48319</v>
      </c>
      <c r="G25" s="17">
        <v>12849.329617810257</v>
      </c>
      <c r="H25" s="17">
        <v>48319</v>
      </c>
      <c r="I25" s="17">
        <v>3796.3732628745697</v>
      </c>
      <c r="J25" s="17">
        <v>0</v>
      </c>
      <c r="K25" s="346">
        <v>0.39052630614596212</v>
      </c>
      <c r="L25" s="346">
        <v>0</v>
      </c>
      <c r="M25" s="346">
        <v>8.852763591455938E-2</v>
      </c>
      <c r="N25" s="346">
        <v>0</v>
      </c>
      <c r="O25" s="346">
        <v>0.52094605793947846</v>
      </c>
      <c r="P25" s="346">
        <v>0</v>
      </c>
      <c r="Q25" s="346">
        <v>1</v>
      </c>
      <c r="R25" s="346">
        <v>1</v>
      </c>
    </row>
    <row r="26" spans="2:19">
      <c r="B26" s="10" t="s">
        <v>218</v>
      </c>
      <c r="C26" s="10">
        <v>1</v>
      </c>
      <c r="D26" s="10" t="s">
        <v>47</v>
      </c>
      <c r="E26" s="17">
        <v>1078.7804263362709</v>
      </c>
      <c r="F26" s="17">
        <v>5337</v>
      </c>
      <c r="G26" s="17">
        <v>1078.7804263362709</v>
      </c>
      <c r="H26" s="17">
        <v>5337</v>
      </c>
      <c r="I26" s="17">
        <v>589.64700317124323</v>
      </c>
      <c r="J26" s="17">
        <v>0</v>
      </c>
      <c r="K26" s="346">
        <v>0.45150879381551451</v>
      </c>
      <c r="L26" s="346">
        <v>0</v>
      </c>
      <c r="M26" s="346">
        <v>0.10550517530834459</v>
      </c>
      <c r="N26" s="346">
        <v>0</v>
      </c>
      <c r="O26" s="346">
        <v>0.4429860308761408</v>
      </c>
      <c r="P26" s="346">
        <v>0</v>
      </c>
      <c r="Q26" s="346">
        <v>1</v>
      </c>
      <c r="R26" s="346">
        <v>1</v>
      </c>
    </row>
    <row r="27" spans="2:19">
      <c r="B27" s="10" t="s">
        <v>2133</v>
      </c>
      <c r="C27" s="10">
        <v>1</v>
      </c>
      <c r="D27" s="10" t="s">
        <v>47</v>
      </c>
      <c r="E27" s="17">
        <v>1335</v>
      </c>
      <c r="F27" s="17">
        <v>19340</v>
      </c>
      <c r="G27" s="17">
        <v>1335</v>
      </c>
      <c r="H27" s="17">
        <v>19340</v>
      </c>
      <c r="I27" s="17">
        <v>1206</v>
      </c>
      <c r="J27" s="17">
        <v>0</v>
      </c>
      <c r="K27" s="346">
        <v>0.20895522388059701</v>
      </c>
      <c r="L27" s="346">
        <v>0</v>
      </c>
      <c r="M27" s="346">
        <v>0.14335820895522386</v>
      </c>
      <c r="N27" s="346">
        <v>0</v>
      </c>
      <c r="O27" s="346">
        <v>0.64768656716417916</v>
      </c>
      <c r="P27" s="346">
        <v>0</v>
      </c>
      <c r="Q27" s="346">
        <v>1</v>
      </c>
      <c r="R27" s="346">
        <v>1</v>
      </c>
      <c r="S27" s="360"/>
    </row>
    <row r="28" spans="2:19">
      <c r="B28" s="10" t="s">
        <v>1931</v>
      </c>
      <c r="C28" s="10">
        <v>1</v>
      </c>
      <c r="D28" s="10" t="s">
        <v>47</v>
      </c>
      <c r="E28" s="17">
        <v>1400</v>
      </c>
      <c r="F28" s="17">
        <v>2000</v>
      </c>
      <c r="G28" s="17">
        <v>1400</v>
      </c>
      <c r="H28" s="17">
        <v>2000</v>
      </c>
      <c r="I28" s="17">
        <v>900</v>
      </c>
      <c r="J28" s="17">
        <v>0</v>
      </c>
      <c r="K28" s="346">
        <v>0.4</v>
      </c>
      <c r="L28" s="346">
        <v>0</v>
      </c>
      <c r="M28" s="346">
        <v>0.09</v>
      </c>
      <c r="N28" s="346">
        <v>0</v>
      </c>
      <c r="O28" s="346">
        <v>0.51</v>
      </c>
      <c r="P28" s="346">
        <v>0</v>
      </c>
      <c r="Q28" s="346">
        <v>1</v>
      </c>
      <c r="R28" s="346">
        <v>1</v>
      </c>
      <c r="S28" s="360"/>
    </row>
    <row r="29" spans="2:19">
      <c r="B29" s="10" t="s">
        <v>272</v>
      </c>
      <c r="C29" s="10">
        <v>1</v>
      </c>
      <c r="D29" s="10" t="s">
        <v>47</v>
      </c>
      <c r="E29" s="17">
        <v>142621.20246370122</v>
      </c>
      <c r="F29" s="17">
        <v>519736</v>
      </c>
      <c r="G29" s="17">
        <v>142621.20246370122</v>
      </c>
      <c r="H29" s="17">
        <v>519736</v>
      </c>
      <c r="I29" s="17">
        <v>45585.926667370164</v>
      </c>
      <c r="J29" s="17">
        <v>0</v>
      </c>
      <c r="K29" s="346">
        <v>0.67144402276001225</v>
      </c>
      <c r="L29" s="346">
        <v>0</v>
      </c>
      <c r="M29" s="346">
        <v>4.4277154675819809E-2</v>
      </c>
      <c r="N29" s="346">
        <v>0</v>
      </c>
      <c r="O29" s="346">
        <v>0.28427882256416798</v>
      </c>
      <c r="P29" s="346">
        <v>0</v>
      </c>
      <c r="Q29" s="346">
        <v>1</v>
      </c>
      <c r="R29" s="346">
        <v>1</v>
      </c>
    </row>
    <row r="30" spans="2:19">
      <c r="B30" s="10" t="s">
        <v>1932</v>
      </c>
      <c r="C30" s="10">
        <v>1</v>
      </c>
      <c r="D30" s="10" t="s">
        <v>47</v>
      </c>
      <c r="E30" s="17">
        <v>69120</v>
      </c>
      <c r="F30" s="17">
        <v>886198</v>
      </c>
      <c r="G30" s="17">
        <v>69120</v>
      </c>
      <c r="H30" s="17">
        <v>886198</v>
      </c>
      <c r="I30" s="17">
        <v>0</v>
      </c>
      <c r="J30" s="17">
        <v>0</v>
      </c>
      <c r="K30" s="346">
        <v>0</v>
      </c>
      <c r="L30" s="346">
        <v>0</v>
      </c>
      <c r="M30" s="346">
        <v>0</v>
      </c>
      <c r="N30" s="346">
        <v>0</v>
      </c>
      <c r="O30" s="346">
        <v>0</v>
      </c>
      <c r="P30" s="346">
        <v>0</v>
      </c>
      <c r="Q30" s="346">
        <v>1</v>
      </c>
      <c r="R30" s="346">
        <v>1</v>
      </c>
      <c r="S30" s="360"/>
    </row>
    <row r="31" spans="2:19">
      <c r="B31" s="10" t="s">
        <v>252</v>
      </c>
      <c r="C31" s="10">
        <v>1</v>
      </c>
      <c r="D31" s="10" t="s">
        <v>47</v>
      </c>
      <c r="E31" s="17">
        <v>3236.7376236496111</v>
      </c>
      <c r="F31" s="17">
        <v>6097</v>
      </c>
      <c r="G31" s="17">
        <v>3236.7376236496111</v>
      </c>
      <c r="H31" s="17">
        <v>6097</v>
      </c>
      <c r="I31" s="17">
        <v>1346.5428246239223</v>
      </c>
      <c r="J31" s="17">
        <v>0</v>
      </c>
      <c r="K31" s="346">
        <v>0.67934887189055326</v>
      </c>
      <c r="L31" s="346">
        <v>0</v>
      </c>
      <c r="M31" s="346">
        <v>4.1783634228228311E-2</v>
      </c>
      <c r="N31" s="346">
        <v>0</v>
      </c>
      <c r="O31" s="346">
        <v>0.2788674938812184</v>
      </c>
      <c r="P31" s="346">
        <v>0</v>
      </c>
      <c r="Q31" s="346">
        <v>1</v>
      </c>
      <c r="R31" s="346">
        <v>1</v>
      </c>
    </row>
    <row r="32" spans="2:19">
      <c r="B32" s="10" t="s">
        <v>2150</v>
      </c>
      <c r="C32" s="10">
        <v>1</v>
      </c>
      <c r="D32" s="10" t="s">
        <v>47</v>
      </c>
      <c r="E32" s="17">
        <v>5526.0069578680741</v>
      </c>
      <c r="F32" s="17">
        <v>2000</v>
      </c>
      <c r="G32" s="17">
        <v>5526.0069578680741</v>
      </c>
      <c r="H32" s="17">
        <v>2000</v>
      </c>
      <c r="I32" s="17">
        <v>3966.0722171862844</v>
      </c>
      <c r="J32" s="17">
        <v>0</v>
      </c>
      <c r="K32" s="346">
        <v>0.63693736808563084</v>
      </c>
      <c r="L32" s="346">
        <v>0</v>
      </c>
      <c r="M32" s="346">
        <v>5.6096089657219586E-2</v>
      </c>
      <c r="N32" s="346">
        <v>0</v>
      </c>
      <c r="O32" s="346">
        <v>0.30696654225714953</v>
      </c>
      <c r="P32" s="346">
        <v>0</v>
      </c>
      <c r="Q32" s="346">
        <v>1</v>
      </c>
      <c r="R32" s="346">
        <v>1</v>
      </c>
    </row>
    <row r="33" spans="2:19">
      <c r="B33" s="10" t="s">
        <v>263</v>
      </c>
      <c r="C33" s="10">
        <v>1</v>
      </c>
      <c r="D33" s="10" t="s">
        <v>47</v>
      </c>
      <c r="E33" s="17">
        <v>216455.95387968147</v>
      </c>
      <c r="F33" s="17">
        <v>651442.38373344857</v>
      </c>
      <c r="G33" s="17">
        <v>216455.95387968147</v>
      </c>
      <c r="H33" s="17">
        <v>651442.38373344857</v>
      </c>
      <c r="I33" s="17">
        <v>87172.968013192047</v>
      </c>
      <c r="J33" s="17">
        <v>0</v>
      </c>
      <c r="K33" s="346">
        <v>0.67843144138428424</v>
      </c>
      <c r="L33" s="346">
        <v>0</v>
      </c>
      <c r="M33" s="346">
        <v>4.2982214929747735E-2</v>
      </c>
      <c r="N33" s="346">
        <v>0</v>
      </c>
      <c r="O33" s="346">
        <v>0.27858634368596791</v>
      </c>
      <c r="P33" s="346">
        <v>0</v>
      </c>
      <c r="Q33" s="346">
        <v>1</v>
      </c>
      <c r="R33" s="346">
        <v>1</v>
      </c>
    </row>
    <row r="34" spans="2:19">
      <c r="B34" s="10" t="s">
        <v>1933</v>
      </c>
      <c r="C34" s="10">
        <v>1</v>
      </c>
      <c r="D34" s="10" t="s">
        <v>47</v>
      </c>
      <c r="E34" s="17">
        <v>14750</v>
      </c>
      <c r="F34" s="17">
        <v>280000</v>
      </c>
      <c r="G34" s="17">
        <v>14750</v>
      </c>
      <c r="H34" s="17">
        <v>280000</v>
      </c>
      <c r="I34" s="17">
        <v>1147.5</v>
      </c>
      <c r="J34" s="17">
        <v>0</v>
      </c>
      <c r="K34" s="346">
        <v>0</v>
      </c>
      <c r="L34" s="346">
        <v>0</v>
      </c>
      <c r="M34" s="346">
        <v>0.12549019607843137</v>
      </c>
      <c r="N34" s="346">
        <v>0</v>
      </c>
      <c r="O34" s="346">
        <v>0.87450980392156863</v>
      </c>
      <c r="P34" s="346">
        <v>0</v>
      </c>
      <c r="Q34" s="346">
        <v>1</v>
      </c>
      <c r="R34" s="346">
        <v>1</v>
      </c>
      <c r="S34" s="360"/>
    </row>
    <row r="35" spans="2:19">
      <c r="B35" s="10" t="s">
        <v>227</v>
      </c>
      <c r="C35" s="10">
        <v>1</v>
      </c>
      <c r="D35" s="10" t="s">
        <v>47</v>
      </c>
      <c r="E35" s="17">
        <v>12707.282952676072</v>
      </c>
      <c r="F35" s="17">
        <v>22601.273228763559</v>
      </c>
      <c r="G35" s="17">
        <v>12707.282952676072</v>
      </c>
      <c r="H35" s="17">
        <v>22601.273228763559</v>
      </c>
      <c r="I35" s="17">
        <v>10634.254562000569</v>
      </c>
      <c r="J35" s="17">
        <v>0</v>
      </c>
      <c r="K35" s="346">
        <v>0.5934279377910171</v>
      </c>
      <c r="L35" s="346">
        <v>0</v>
      </c>
      <c r="M35" s="346">
        <v>5.6770259542675672E-2</v>
      </c>
      <c r="N35" s="346">
        <v>0</v>
      </c>
      <c r="O35" s="346">
        <v>0.34980180266630728</v>
      </c>
      <c r="P35" s="346">
        <v>0</v>
      </c>
      <c r="Q35" s="346">
        <v>1</v>
      </c>
      <c r="R35" s="346">
        <v>1</v>
      </c>
    </row>
    <row r="36" spans="2:19">
      <c r="B36" s="10" t="s">
        <v>233</v>
      </c>
      <c r="C36" s="10">
        <v>1</v>
      </c>
      <c r="D36" s="10" t="s">
        <v>47</v>
      </c>
      <c r="E36" s="17">
        <v>20025.000414978771</v>
      </c>
      <c r="F36" s="17">
        <v>52496.244934381059</v>
      </c>
      <c r="G36" s="17">
        <v>20025.000414978771</v>
      </c>
      <c r="H36" s="17">
        <v>52496.244934381059</v>
      </c>
      <c r="I36" s="17">
        <v>13122.524603266236</v>
      </c>
      <c r="J36" s="17">
        <v>0</v>
      </c>
      <c r="K36" s="346">
        <v>0.56201751423100743</v>
      </c>
      <c r="L36" s="346">
        <v>0</v>
      </c>
      <c r="M36" s="346">
        <v>6.9164452814461402E-2</v>
      </c>
      <c r="N36" s="346">
        <v>0</v>
      </c>
      <c r="O36" s="346">
        <v>0.36881803295453119</v>
      </c>
      <c r="P36" s="346">
        <v>0</v>
      </c>
      <c r="Q36" s="346">
        <v>1</v>
      </c>
      <c r="R36" s="346">
        <v>1</v>
      </c>
    </row>
    <row r="37" spans="2:19">
      <c r="B37" s="10" t="s">
        <v>276</v>
      </c>
      <c r="C37" s="10">
        <v>1</v>
      </c>
      <c r="D37" s="10" t="s">
        <v>47</v>
      </c>
      <c r="E37" s="17">
        <v>59513.588286405502</v>
      </c>
      <c r="F37" s="17">
        <v>216067</v>
      </c>
      <c r="G37" s="17">
        <v>59513.588286405502</v>
      </c>
      <c r="H37" s="17">
        <v>216067</v>
      </c>
      <c r="I37" s="17">
        <v>17109.900893932147</v>
      </c>
      <c r="J37" s="17">
        <v>0</v>
      </c>
      <c r="K37" s="346">
        <v>0.62699768066816308</v>
      </c>
      <c r="L37" s="346">
        <v>0</v>
      </c>
      <c r="M37" s="346">
        <v>4.8884352486414005E-2</v>
      </c>
      <c r="N37" s="346">
        <v>0</v>
      </c>
      <c r="O37" s="346">
        <v>0.32411796684542299</v>
      </c>
      <c r="P37" s="346">
        <v>0</v>
      </c>
      <c r="Q37" s="346">
        <v>1</v>
      </c>
      <c r="R37" s="346">
        <v>1</v>
      </c>
    </row>
    <row r="38" spans="2:19">
      <c r="B38" s="10" t="s">
        <v>1934</v>
      </c>
      <c r="C38" s="10">
        <v>1</v>
      </c>
      <c r="D38" s="10" t="s">
        <v>47</v>
      </c>
      <c r="E38" s="17">
        <v>100</v>
      </c>
      <c r="F38" s="17">
        <v>150</v>
      </c>
      <c r="G38" s="17">
        <v>100</v>
      </c>
      <c r="H38" s="17">
        <v>150</v>
      </c>
      <c r="I38" s="17">
        <v>63</v>
      </c>
      <c r="J38" s="17">
        <v>0</v>
      </c>
      <c r="K38" s="346">
        <v>0</v>
      </c>
      <c r="L38" s="346">
        <v>0</v>
      </c>
      <c r="M38" s="346">
        <v>0.35714285714285715</v>
      </c>
      <c r="N38" s="346">
        <v>0</v>
      </c>
      <c r="O38" s="346">
        <v>0.6428571428571429</v>
      </c>
      <c r="P38" s="346">
        <v>0</v>
      </c>
      <c r="Q38" s="346">
        <v>1</v>
      </c>
      <c r="R38" s="346">
        <v>1</v>
      </c>
      <c r="S38" s="360"/>
    </row>
    <row r="39" spans="2:19">
      <c r="B39" s="10" t="s">
        <v>284</v>
      </c>
      <c r="C39" s="10">
        <v>1</v>
      </c>
      <c r="D39" s="10" t="s">
        <v>47</v>
      </c>
      <c r="E39" s="17">
        <v>30798.929199747468</v>
      </c>
      <c r="F39" s="17">
        <v>83343.022270152418</v>
      </c>
      <c r="G39" s="17">
        <v>30798.929199747468</v>
      </c>
      <c r="H39" s="17">
        <v>83343.022270152418</v>
      </c>
      <c r="I39" s="17">
        <v>21190.607289289677</v>
      </c>
      <c r="J39" s="17">
        <v>0</v>
      </c>
      <c r="K39" s="346">
        <v>0.65303094717653487</v>
      </c>
      <c r="L39" s="346">
        <v>0</v>
      </c>
      <c r="M39" s="346">
        <v>4.5128807391288633E-2</v>
      </c>
      <c r="N39" s="346">
        <v>0</v>
      </c>
      <c r="O39" s="346">
        <v>0.30184024543217647</v>
      </c>
      <c r="P39" s="346">
        <v>0</v>
      </c>
      <c r="Q39" s="346">
        <v>1</v>
      </c>
      <c r="R39" s="346">
        <v>1</v>
      </c>
    </row>
    <row r="40" spans="2:19">
      <c r="B40" s="10" t="s">
        <v>2161</v>
      </c>
      <c r="C40" s="10">
        <v>1</v>
      </c>
      <c r="D40" s="10" t="s">
        <v>47</v>
      </c>
      <c r="E40" s="17">
        <v>195659.49413530878</v>
      </c>
      <c r="F40" s="17">
        <v>479747.82496718003</v>
      </c>
      <c r="G40" s="17">
        <v>195659.49413530878</v>
      </c>
      <c r="H40" s="17">
        <v>479747.82496718003</v>
      </c>
      <c r="I40" s="17">
        <v>131123.4353299216</v>
      </c>
      <c r="J40" s="17">
        <v>0</v>
      </c>
      <c r="K40" s="346">
        <v>0.76018018595994463</v>
      </c>
      <c r="L40" s="346">
        <v>0</v>
      </c>
      <c r="M40" s="346">
        <v>3.069124773313972E-2</v>
      </c>
      <c r="N40" s="346">
        <v>0</v>
      </c>
      <c r="O40" s="346">
        <v>0.20912856630691545</v>
      </c>
      <c r="P40" s="346">
        <v>0</v>
      </c>
      <c r="Q40" s="346">
        <v>1</v>
      </c>
      <c r="R40" s="346">
        <v>1</v>
      </c>
    </row>
    <row r="41" spans="2:19">
      <c r="B41" s="10" t="s">
        <v>279</v>
      </c>
      <c r="C41" s="10">
        <v>1</v>
      </c>
      <c r="D41" s="10" t="s">
        <v>47</v>
      </c>
      <c r="E41" s="17">
        <v>156384.60954573666</v>
      </c>
      <c r="F41" s="17">
        <v>386740.64805745217</v>
      </c>
      <c r="G41" s="17">
        <v>156384.60954573666</v>
      </c>
      <c r="H41" s="17">
        <v>386740.64805745217</v>
      </c>
      <c r="I41" s="17">
        <v>99063.387564845325</v>
      </c>
      <c r="J41" s="17">
        <v>0</v>
      </c>
      <c r="K41" s="346">
        <v>0.73697049443883222</v>
      </c>
      <c r="L41" s="346">
        <v>0</v>
      </c>
      <c r="M41" s="346">
        <v>3.3719133545833391E-2</v>
      </c>
      <c r="N41" s="346">
        <v>0</v>
      </c>
      <c r="O41" s="346">
        <v>0.22931037201533444</v>
      </c>
      <c r="P41" s="346">
        <v>0</v>
      </c>
      <c r="Q41" s="346">
        <v>1</v>
      </c>
      <c r="R41" s="346">
        <v>1</v>
      </c>
    </row>
    <row r="42" spans="2:19">
      <c r="B42" s="10" t="s">
        <v>1935</v>
      </c>
      <c r="C42" s="10">
        <v>1</v>
      </c>
      <c r="D42" s="10" t="s">
        <v>47</v>
      </c>
      <c r="E42" s="17">
        <v>435</v>
      </c>
      <c r="F42" s="17">
        <v>6000</v>
      </c>
      <c r="G42" s="17">
        <v>435</v>
      </c>
      <c r="H42" s="17">
        <v>6000</v>
      </c>
      <c r="I42" s="17">
        <v>117</v>
      </c>
      <c r="J42" s="17">
        <v>0</v>
      </c>
      <c r="K42" s="346">
        <v>3.8461538461538464E-2</v>
      </c>
      <c r="L42" s="346">
        <v>0</v>
      </c>
      <c r="M42" s="346">
        <v>0.34615384615384615</v>
      </c>
      <c r="N42" s="346">
        <v>0</v>
      </c>
      <c r="O42" s="346">
        <v>0.61538461538461542</v>
      </c>
      <c r="P42" s="346">
        <v>0</v>
      </c>
      <c r="Q42" s="346">
        <v>1</v>
      </c>
      <c r="R42" s="346">
        <v>1</v>
      </c>
      <c r="S42" s="360"/>
    </row>
    <row r="43" spans="2:19">
      <c r="B43" s="10" t="s">
        <v>282</v>
      </c>
      <c r="C43" s="10">
        <v>1</v>
      </c>
      <c r="D43" s="10" t="s">
        <v>47</v>
      </c>
      <c r="E43" s="17">
        <v>90842.832097339822</v>
      </c>
      <c r="F43" s="17">
        <v>417833.60216467635</v>
      </c>
      <c r="G43" s="17">
        <v>90842.832097339822</v>
      </c>
      <c r="H43" s="17">
        <v>417833.60216467635</v>
      </c>
      <c r="I43" s="17">
        <v>8714.6794640202152</v>
      </c>
      <c r="J43" s="17">
        <v>0</v>
      </c>
      <c r="K43" s="346">
        <v>0.72992198205524828</v>
      </c>
      <c r="L43" s="346">
        <v>0</v>
      </c>
      <c r="M43" s="346">
        <v>3.663014600513731E-2</v>
      </c>
      <c r="N43" s="346">
        <v>0</v>
      </c>
      <c r="O43" s="346">
        <v>0.23344787193961453</v>
      </c>
      <c r="P43" s="346">
        <v>0</v>
      </c>
      <c r="Q43" s="346">
        <v>1</v>
      </c>
      <c r="R43" s="346">
        <v>1</v>
      </c>
    </row>
    <row r="44" spans="2:19">
      <c r="B44" s="10" t="s">
        <v>283</v>
      </c>
      <c r="C44" s="10">
        <v>1</v>
      </c>
      <c r="D44" s="10" t="s">
        <v>47</v>
      </c>
      <c r="E44" s="17">
        <v>2475</v>
      </c>
      <c r="F44" s="17">
        <v>25000</v>
      </c>
      <c r="G44" s="17">
        <v>2475</v>
      </c>
      <c r="H44" s="17">
        <v>25000</v>
      </c>
      <c r="I44" s="17">
        <v>729.50023146445915</v>
      </c>
      <c r="J44" s="17">
        <v>0</v>
      </c>
      <c r="K44" s="346">
        <v>0.87570058672655982</v>
      </c>
      <c r="L44" s="346">
        <v>0</v>
      </c>
      <c r="M44" s="346">
        <v>1.6671776171790251E-2</v>
      </c>
      <c r="N44" s="346">
        <v>0</v>
      </c>
      <c r="O44" s="346">
        <v>0.10762763710164996</v>
      </c>
      <c r="P44" s="346">
        <v>0</v>
      </c>
      <c r="Q44" s="346">
        <v>1</v>
      </c>
      <c r="R44" s="346">
        <v>1</v>
      </c>
    </row>
    <row r="45" spans="2:19">
      <c r="B45" s="10" t="s">
        <v>280</v>
      </c>
      <c r="C45" s="10">
        <v>1</v>
      </c>
      <c r="D45" s="10" t="s">
        <v>47</v>
      </c>
      <c r="E45" s="17">
        <v>2838.8444789862333</v>
      </c>
      <c r="F45" s="17">
        <v>6656.3116259134622</v>
      </c>
      <c r="G45" s="17">
        <v>2838.8444789862333</v>
      </c>
      <c r="H45" s="17">
        <v>6656.3116259134622</v>
      </c>
      <c r="I45" s="17">
        <v>2227.9556178063285</v>
      </c>
      <c r="J45" s="17">
        <v>0</v>
      </c>
      <c r="K45" s="346">
        <v>0.84375553525099922</v>
      </c>
      <c r="L45" s="346">
        <v>0</v>
      </c>
      <c r="M45" s="346">
        <v>2.0346689656252862E-2</v>
      </c>
      <c r="N45" s="346">
        <v>0</v>
      </c>
      <c r="O45" s="346">
        <v>0.13589777509274803</v>
      </c>
      <c r="P45" s="346">
        <v>0</v>
      </c>
      <c r="Q45" s="346">
        <v>1</v>
      </c>
      <c r="R45" s="346">
        <v>1</v>
      </c>
    </row>
    <row r="46" spans="2:19">
      <c r="B46" s="10" t="s">
        <v>277</v>
      </c>
      <c r="C46" s="10">
        <v>1</v>
      </c>
      <c r="D46" s="10" t="s">
        <v>47</v>
      </c>
      <c r="E46" s="17">
        <v>2012.6927127817846</v>
      </c>
      <c r="F46" s="17">
        <v>8410.520946056844</v>
      </c>
      <c r="G46" s="17">
        <v>2012.6927127817846</v>
      </c>
      <c r="H46" s="17">
        <v>8410.520946056844</v>
      </c>
      <c r="I46" s="17">
        <v>663.77440122116184</v>
      </c>
      <c r="J46" s="17">
        <v>0</v>
      </c>
      <c r="K46" s="346">
        <v>0.43408492081219574</v>
      </c>
      <c r="L46" s="346">
        <v>0</v>
      </c>
      <c r="M46" s="346">
        <v>7.9171254238923142E-2</v>
      </c>
      <c r="N46" s="346">
        <v>0</v>
      </c>
      <c r="O46" s="346">
        <v>0.48674382494888119</v>
      </c>
      <c r="P46" s="346">
        <v>0</v>
      </c>
      <c r="Q46" s="346">
        <v>1</v>
      </c>
      <c r="R46" s="346">
        <v>1</v>
      </c>
    </row>
    <row r="47" spans="2:19">
      <c r="B47" s="10" t="s">
        <v>204</v>
      </c>
      <c r="C47" s="10">
        <v>1</v>
      </c>
      <c r="D47" s="10" t="s">
        <v>47</v>
      </c>
      <c r="E47" s="17">
        <v>1708142.6524989703</v>
      </c>
      <c r="F47" s="17">
        <v>5554644.1515836483</v>
      </c>
      <c r="G47" s="17">
        <v>1708142.6524989703</v>
      </c>
      <c r="H47" s="17">
        <v>5554644.1515836483</v>
      </c>
      <c r="I47" s="17">
        <v>510964.94461958506</v>
      </c>
      <c r="J47" s="17">
        <v>0</v>
      </c>
      <c r="K47" s="346">
        <v>0.71866364782400538</v>
      </c>
      <c r="L47" s="346">
        <v>0</v>
      </c>
      <c r="M47" s="346">
        <v>3.8307607555871752E-2</v>
      </c>
      <c r="N47" s="346">
        <v>0</v>
      </c>
      <c r="O47" s="346">
        <v>0.24302874462012292</v>
      </c>
      <c r="P47" s="346">
        <v>0</v>
      </c>
      <c r="Q47" s="346">
        <v>1</v>
      </c>
      <c r="R47" s="346">
        <v>1</v>
      </c>
    </row>
    <row r="48" spans="2:19">
      <c r="B48" s="10" t="s">
        <v>238</v>
      </c>
      <c r="C48" s="10">
        <v>1</v>
      </c>
      <c r="D48" s="10" t="s">
        <v>47</v>
      </c>
      <c r="E48" s="17">
        <v>833.88154469418237</v>
      </c>
      <c r="F48" s="17">
        <v>3189.7319428708161</v>
      </c>
      <c r="G48" s="17">
        <v>833.88154469418237</v>
      </c>
      <c r="H48" s="17">
        <v>3189.7319428708161</v>
      </c>
      <c r="I48" s="17">
        <v>135.93341742004279</v>
      </c>
      <c r="J48" s="17">
        <v>0</v>
      </c>
      <c r="K48" s="346">
        <v>0.14055524368144701</v>
      </c>
      <c r="L48" s="346">
        <v>0</v>
      </c>
      <c r="M48" s="346">
        <v>0.38320869936548191</v>
      </c>
      <c r="N48" s="346">
        <v>0</v>
      </c>
      <c r="O48" s="346">
        <v>0.47623605695307114</v>
      </c>
      <c r="P48" s="346">
        <v>0</v>
      </c>
      <c r="Q48" s="346">
        <v>1</v>
      </c>
      <c r="R48" s="346">
        <v>1</v>
      </c>
    </row>
    <row r="49" spans="2:18">
      <c r="B49" s="10" t="s">
        <v>267</v>
      </c>
      <c r="C49" s="10">
        <v>1</v>
      </c>
      <c r="D49" s="10" t="s">
        <v>47</v>
      </c>
      <c r="E49" s="17">
        <v>16457.955969839379</v>
      </c>
      <c r="F49" s="17">
        <v>38866.498576614147</v>
      </c>
      <c r="G49" s="17">
        <v>16457.955969839379</v>
      </c>
      <c r="H49" s="17">
        <v>38866.498576614147</v>
      </c>
      <c r="I49" s="17">
        <v>11519.153269203312</v>
      </c>
      <c r="J49" s="17">
        <v>0</v>
      </c>
      <c r="K49" s="346">
        <v>0.68004038041375303</v>
      </c>
      <c r="L49" s="346">
        <v>0</v>
      </c>
      <c r="M49" s="346">
        <v>4.1309466321789501E-2</v>
      </c>
      <c r="N49" s="346">
        <v>0</v>
      </c>
      <c r="O49" s="346">
        <v>0.27865015326445747</v>
      </c>
      <c r="P49" s="346">
        <v>0</v>
      </c>
      <c r="Q49" s="346">
        <v>1</v>
      </c>
      <c r="R49" s="346">
        <v>1</v>
      </c>
    </row>
    <row r="50" spans="2:18">
      <c r="B50" s="10" t="s">
        <v>247</v>
      </c>
      <c r="C50" s="10">
        <v>1</v>
      </c>
      <c r="D50" s="10" t="s">
        <v>47</v>
      </c>
      <c r="E50" s="17">
        <v>19931.335385101665</v>
      </c>
      <c r="F50" s="17">
        <v>71592.31942256882</v>
      </c>
      <c r="G50" s="17">
        <v>19931.335385101665</v>
      </c>
      <c r="H50" s="17">
        <v>71592.31942256882</v>
      </c>
      <c r="I50" s="17">
        <v>9413.1066997208782</v>
      </c>
      <c r="J50" s="17">
        <v>0</v>
      </c>
      <c r="K50" s="346">
        <v>0.66543592706868437</v>
      </c>
      <c r="L50" s="346">
        <v>0</v>
      </c>
      <c r="M50" s="346">
        <v>4.4731411626808645E-2</v>
      </c>
      <c r="N50" s="346">
        <v>0</v>
      </c>
      <c r="O50" s="346">
        <v>0.28983266130450702</v>
      </c>
      <c r="P50" s="346">
        <v>0</v>
      </c>
      <c r="Q50" s="346">
        <v>1</v>
      </c>
      <c r="R50" s="346">
        <v>1</v>
      </c>
    </row>
    <row r="51" spans="2:18">
      <c r="B51" s="10" t="s">
        <v>285</v>
      </c>
      <c r="C51" s="10">
        <v>1</v>
      </c>
      <c r="D51" s="10" t="s">
        <v>47</v>
      </c>
      <c r="E51" s="17">
        <v>53033.800267883693</v>
      </c>
      <c r="F51" s="17">
        <v>98880.041985823133</v>
      </c>
      <c r="G51" s="17">
        <v>53033.800267883693</v>
      </c>
      <c r="H51" s="17">
        <v>98880.041985823133</v>
      </c>
      <c r="I51" s="17">
        <v>42431.339756271504</v>
      </c>
      <c r="J51" s="17">
        <v>0</v>
      </c>
      <c r="K51" s="346">
        <v>0.74414333871161042</v>
      </c>
      <c r="L51" s="346">
        <v>0</v>
      </c>
      <c r="M51" s="346">
        <v>3.2907877853058133E-2</v>
      </c>
      <c r="N51" s="346">
        <v>0</v>
      </c>
      <c r="O51" s="346">
        <v>0.22294878343533164</v>
      </c>
      <c r="P51" s="346">
        <v>0</v>
      </c>
      <c r="Q51" s="346">
        <v>1</v>
      </c>
      <c r="R51" s="346">
        <v>1</v>
      </c>
    </row>
    <row r="52" spans="2:18">
      <c r="B52" s="10" t="s">
        <v>258</v>
      </c>
      <c r="C52" s="10">
        <v>1</v>
      </c>
      <c r="D52" s="10" t="s">
        <v>47</v>
      </c>
      <c r="E52" s="17">
        <v>2355.7569089878234</v>
      </c>
      <c r="F52" s="17">
        <v>5802.6364089669487</v>
      </c>
      <c r="G52" s="17">
        <v>2355.7569089878234</v>
      </c>
      <c r="H52" s="17">
        <v>5802.6364089669487</v>
      </c>
      <c r="I52" s="17">
        <v>453.66946233398909</v>
      </c>
      <c r="J52" s="17">
        <v>0</v>
      </c>
      <c r="K52" s="346">
        <v>0.81580118068257612</v>
      </c>
      <c r="L52" s="346">
        <v>0</v>
      </c>
      <c r="M52" s="346">
        <v>2.7134769750273787E-2</v>
      </c>
      <c r="N52" s="346">
        <v>0</v>
      </c>
      <c r="O52" s="346">
        <v>0.15706404956715003</v>
      </c>
      <c r="P52" s="346">
        <v>0</v>
      </c>
      <c r="Q52" s="346">
        <v>1</v>
      </c>
      <c r="R52" s="346">
        <v>1</v>
      </c>
    </row>
    <row r="53" spans="2:18">
      <c r="B53" s="10" t="s">
        <v>287</v>
      </c>
      <c r="C53" s="10">
        <v>1</v>
      </c>
      <c r="D53" s="10" t="s">
        <v>47</v>
      </c>
      <c r="E53" s="17">
        <v>219600.87474465478</v>
      </c>
      <c r="F53" s="17">
        <v>896681.37179708213</v>
      </c>
      <c r="G53" s="17">
        <v>219600.87474465478</v>
      </c>
      <c r="H53" s="17">
        <v>896681.37179708213</v>
      </c>
      <c r="I53" s="17">
        <v>16632.714291610508</v>
      </c>
      <c r="J53" s="17">
        <v>0</v>
      </c>
      <c r="K53" s="346">
        <v>0.82725945397069434</v>
      </c>
      <c r="L53" s="346">
        <v>0</v>
      </c>
      <c r="M53" s="346">
        <v>2.1976788814033959E-2</v>
      </c>
      <c r="N53" s="346">
        <v>0</v>
      </c>
      <c r="O53" s="346">
        <v>0.15076375721527166</v>
      </c>
      <c r="P53" s="346">
        <v>0</v>
      </c>
      <c r="Q53" s="346">
        <v>1</v>
      </c>
      <c r="R53" s="346">
        <v>1</v>
      </c>
    </row>
    <row r="54" spans="2:18">
      <c r="B54" s="10" t="s">
        <v>286</v>
      </c>
      <c r="C54" s="10">
        <v>1</v>
      </c>
      <c r="D54" s="10" t="s">
        <v>47</v>
      </c>
      <c r="E54" s="17">
        <v>63425.301210414611</v>
      </c>
      <c r="F54" s="17">
        <v>259440.2206671937</v>
      </c>
      <c r="G54" s="17">
        <v>63425.301210414611</v>
      </c>
      <c r="H54" s="17">
        <v>259440.2206671937</v>
      </c>
      <c r="I54" s="17">
        <v>13572.282348917337</v>
      </c>
      <c r="J54" s="17">
        <v>0</v>
      </c>
      <c r="K54" s="346">
        <v>0.68995799784193423</v>
      </c>
      <c r="L54" s="346">
        <v>0</v>
      </c>
      <c r="M54" s="346">
        <v>4.1528892428086252E-2</v>
      </c>
      <c r="N54" s="346">
        <v>0</v>
      </c>
      <c r="O54" s="346">
        <v>0.26851310972997966</v>
      </c>
      <c r="P54" s="346">
        <v>0</v>
      </c>
      <c r="Q54" s="346">
        <v>1</v>
      </c>
      <c r="R54" s="346">
        <v>1</v>
      </c>
    </row>
    <row r="55" spans="2:18">
      <c r="B55" s="10" t="s">
        <v>290</v>
      </c>
      <c r="C55" s="10">
        <v>1</v>
      </c>
      <c r="D55" s="10" t="s">
        <v>47</v>
      </c>
      <c r="E55" s="17">
        <v>807.50180748261846</v>
      </c>
      <c r="F55" s="17">
        <v>2562.5289314691472</v>
      </c>
      <c r="G55" s="17">
        <v>807.50180748261846</v>
      </c>
      <c r="H55" s="17">
        <v>2562.5289314691472</v>
      </c>
      <c r="I55" s="17">
        <v>446.36165813372247</v>
      </c>
      <c r="J55" s="17">
        <v>0</v>
      </c>
      <c r="K55" s="346">
        <v>0.37400022032915015</v>
      </c>
      <c r="L55" s="346">
        <v>0</v>
      </c>
      <c r="M55" s="346">
        <v>0.16254866358819939</v>
      </c>
      <c r="N55" s="346">
        <v>0</v>
      </c>
      <c r="O55" s="346">
        <v>0.46345111608265049</v>
      </c>
      <c r="P55" s="346">
        <v>0</v>
      </c>
      <c r="Q55" s="346">
        <v>1</v>
      </c>
      <c r="R55" s="346">
        <v>1</v>
      </c>
    </row>
    <row r="56" spans="2:18">
      <c r="B56" s="10" t="s">
        <v>291</v>
      </c>
      <c r="C56" s="10">
        <v>1</v>
      </c>
      <c r="D56" s="10" t="s">
        <v>47</v>
      </c>
      <c r="E56" s="17">
        <v>3210.9481233508818</v>
      </c>
      <c r="F56" s="17">
        <v>10517.6</v>
      </c>
      <c r="G56" s="17">
        <v>3210.9481233508818</v>
      </c>
      <c r="H56" s="17">
        <v>10517.6</v>
      </c>
      <c r="I56" s="17">
        <v>656.32601708708546</v>
      </c>
      <c r="J56" s="17">
        <v>0</v>
      </c>
      <c r="K56" s="346">
        <v>0.59740931836269751</v>
      </c>
      <c r="L56" s="346">
        <v>0</v>
      </c>
      <c r="M56" s="346">
        <v>5.4323985626009749E-2</v>
      </c>
      <c r="N56" s="346">
        <v>0</v>
      </c>
      <c r="O56" s="346">
        <v>0.34826669601129273</v>
      </c>
      <c r="P56" s="346">
        <v>0</v>
      </c>
      <c r="Q56" s="346">
        <v>1</v>
      </c>
      <c r="R56" s="346">
        <v>1</v>
      </c>
    </row>
    <row r="57" spans="2:18">
      <c r="B57" s="10" t="s">
        <v>1936</v>
      </c>
      <c r="C57" s="10">
        <v>1</v>
      </c>
      <c r="D57" s="10" t="s">
        <v>47</v>
      </c>
      <c r="E57" s="17">
        <v>1053.4040733630293</v>
      </c>
      <c r="F57" s="17">
        <v>3957.3</v>
      </c>
      <c r="G57" s="17">
        <v>1053.4040733630293</v>
      </c>
      <c r="H57" s="17">
        <v>3957.3</v>
      </c>
      <c r="I57" s="17">
        <v>422.72015180185008</v>
      </c>
      <c r="J57" s="17">
        <v>0</v>
      </c>
      <c r="K57" s="346">
        <v>0.32130887785771761</v>
      </c>
      <c r="L57" s="346">
        <v>0</v>
      </c>
      <c r="M57" s="346">
        <v>0.19551942636372296</v>
      </c>
      <c r="N57" s="346">
        <v>0</v>
      </c>
      <c r="O57" s="346">
        <v>0.48317169577855934</v>
      </c>
      <c r="P57" s="346">
        <v>0</v>
      </c>
      <c r="Q57" s="346">
        <v>1</v>
      </c>
      <c r="R57" s="346">
        <v>1</v>
      </c>
    </row>
    <row r="58" spans="2:18">
      <c r="B58" s="10" t="s">
        <v>292</v>
      </c>
      <c r="C58" s="10">
        <v>1</v>
      </c>
      <c r="D58" s="10" t="s">
        <v>47</v>
      </c>
      <c r="E58" s="17">
        <v>542.56542453609859</v>
      </c>
      <c r="F58" s="17">
        <v>2038.9536277272805</v>
      </c>
      <c r="G58" s="17">
        <v>542.56542453609859</v>
      </c>
      <c r="H58" s="17">
        <v>2038.9536277272805</v>
      </c>
      <c r="I58" s="17">
        <v>235.87100218339555</v>
      </c>
      <c r="J58" s="17">
        <v>0</v>
      </c>
      <c r="K58" s="346">
        <v>0.21589905395202719</v>
      </c>
      <c r="L58" s="346">
        <v>0</v>
      </c>
      <c r="M58" s="346">
        <v>0.14508082968446268</v>
      </c>
      <c r="N58" s="346">
        <v>0</v>
      </c>
      <c r="O58" s="346">
        <v>0.63902011636351019</v>
      </c>
      <c r="P58" s="346">
        <v>0</v>
      </c>
      <c r="Q58" s="346">
        <v>1</v>
      </c>
      <c r="R58" s="346">
        <v>1</v>
      </c>
    </row>
    <row r="59" spans="2:18">
      <c r="B59" s="10" t="s">
        <v>289</v>
      </c>
      <c r="C59" s="10">
        <v>1</v>
      </c>
      <c r="D59" s="10" t="s">
        <v>47</v>
      </c>
      <c r="E59" s="17">
        <v>28233.069005397178</v>
      </c>
      <c r="F59" s="17">
        <v>90783.639969218755</v>
      </c>
      <c r="G59" s="17">
        <v>28233.069005397178</v>
      </c>
      <c r="H59" s="17">
        <v>90783.639969218755</v>
      </c>
      <c r="I59" s="17">
        <v>8536.2156327982648</v>
      </c>
      <c r="J59" s="17">
        <v>0</v>
      </c>
      <c r="K59" s="346">
        <v>0.54476981995464813</v>
      </c>
      <c r="L59" s="346">
        <v>0</v>
      </c>
      <c r="M59" s="346">
        <v>8.0859226932409753E-2</v>
      </c>
      <c r="N59" s="346">
        <v>0</v>
      </c>
      <c r="O59" s="346">
        <v>0.37437095311294216</v>
      </c>
      <c r="P59" s="346">
        <v>0</v>
      </c>
      <c r="Q59" s="346">
        <v>1</v>
      </c>
      <c r="R59" s="346">
        <v>1</v>
      </c>
    </row>
    <row r="60" spans="2:18">
      <c r="B60" s="10" t="s">
        <v>197</v>
      </c>
      <c r="C60" s="10">
        <v>1</v>
      </c>
      <c r="D60" s="10" t="s">
        <v>47</v>
      </c>
      <c r="E60" s="17">
        <v>1552606.2406971802</v>
      </c>
      <c r="F60" s="17">
        <v>5554644.1515836483</v>
      </c>
      <c r="G60" s="17">
        <v>1552606.2406971802</v>
      </c>
      <c r="H60" s="17">
        <v>5554644.1515836483</v>
      </c>
      <c r="I60" s="17">
        <v>467433.58479929558</v>
      </c>
      <c r="J60" s="17">
        <v>0</v>
      </c>
      <c r="K60" s="346">
        <v>0.71414359574765829</v>
      </c>
      <c r="L60" s="346">
        <v>0</v>
      </c>
      <c r="M60" s="346">
        <v>3.8511614666082945E-2</v>
      </c>
      <c r="N60" s="346">
        <v>0</v>
      </c>
      <c r="O60" s="346">
        <v>0.24734478958625877</v>
      </c>
      <c r="P60" s="346">
        <v>0</v>
      </c>
      <c r="Q60" s="346">
        <v>1</v>
      </c>
      <c r="R60" s="346">
        <v>1</v>
      </c>
    </row>
    <row r="61" spans="2:18">
      <c r="B61" s="10" t="s">
        <v>270</v>
      </c>
      <c r="C61" s="10">
        <v>1</v>
      </c>
      <c r="D61" s="10" t="s">
        <v>47</v>
      </c>
      <c r="E61" s="17">
        <v>26615.080170291989</v>
      </c>
      <c r="F61" s="17">
        <v>70396.297143319636</v>
      </c>
      <c r="G61" s="17">
        <v>26615.080170291989</v>
      </c>
      <c r="H61" s="17">
        <v>70396.297143319636</v>
      </c>
      <c r="I61" s="17">
        <v>15706.554443190769</v>
      </c>
      <c r="J61" s="17">
        <v>0</v>
      </c>
      <c r="K61" s="346">
        <v>0.66475486808195483</v>
      </c>
      <c r="L61" s="346">
        <v>0</v>
      </c>
      <c r="M61" s="346">
        <v>4.5554003311923184E-2</v>
      </c>
      <c r="N61" s="346">
        <v>0</v>
      </c>
      <c r="O61" s="346">
        <v>0.28969112860612201</v>
      </c>
      <c r="P61" s="346">
        <v>0</v>
      </c>
      <c r="Q61" s="346">
        <v>1</v>
      </c>
      <c r="R61" s="346">
        <v>1</v>
      </c>
    </row>
    <row r="62" spans="2:18">
      <c r="B62" s="10" t="s">
        <v>278</v>
      </c>
      <c r="C62" s="10">
        <v>1</v>
      </c>
      <c r="D62" s="10" t="s">
        <v>47</v>
      </c>
      <c r="E62" s="17">
        <v>47725.891729794574</v>
      </c>
      <c r="F62" s="17">
        <v>272685.76706342906</v>
      </c>
      <c r="G62" s="17">
        <v>47725.891729794574</v>
      </c>
      <c r="H62" s="17">
        <v>272685.76706342906</v>
      </c>
      <c r="I62" s="17">
        <v>1510.9140910871868</v>
      </c>
      <c r="J62" s="17">
        <v>0</v>
      </c>
      <c r="K62" s="346">
        <v>0.73887791972663852</v>
      </c>
      <c r="L62" s="346">
        <v>0</v>
      </c>
      <c r="M62" s="346">
        <v>3.7395890356559484E-2</v>
      </c>
      <c r="N62" s="346">
        <v>0</v>
      </c>
      <c r="O62" s="346">
        <v>0.22372618991680213</v>
      </c>
      <c r="P62" s="346">
        <v>0</v>
      </c>
      <c r="Q62" s="346">
        <v>1</v>
      </c>
      <c r="R62" s="346">
        <v>1</v>
      </c>
    </row>
    <row r="63" spans="2:18">
      <c r="B63" s="10" t="s">
        <v>467</v>
      </c>
      <c r="C63" s="10">
        <v>1</v>
      </c>
      <c r="D63" s="10" t="s">
        <v>47</v>
      </c>
      <c r="E63" s="17">
        <v>74915.792332724828</v>
      </c>
      <c r="F63" s="17">
        <v>294575</v>
      </c>
      <c r="G63" s="17">
        <v>74915.792332724828</v>
      </c>
      <c r="H63" s="17">
        <v>294575</v>
      </c>
      <c r="I63" s="17">
        <v>16105.073058084317</v>
      </c>
      <c r="J63" s="17">
        <v>0</v>
      </c>
      <c r="K63" s="346">
        <v>0.86158089823947048</v>
      </c>
      <c r="L63" s="346">
        <v>0</v>
      </c>
      <c r="M63" s="346">
        <v>1.7879891419730717E-2</v>
      </c>
      <c r="N63" s="346">
        <v>0</v>
      </c>
      <c r="O63" s="346">
        <v>0.1205392103407988</v>
      </c>
      <c r="P63" s="346">
        <v>0</v>
      </c>
      <c r="Q63" s="346">
        <v>1</v>
      </c>
      <c r="R63" s="346">
        <v>1</v>
      </c>
    </row>
    <row r="64" spans="2:18">
      <c r="B64" s="10" t="s">
        <v>1937</v>
      </c>
      <c r="C64" s="10">
        <v>1</v>
      </c>
      <c r="D64" s="10" t="s">
        <v>47</v>
      </c>
      <c r="E64" s="17">
        <v>5465.3248889857414</v>
      </c>
      <c r="F64" s="17">
        <v>20073.934901516353</v>
      </c>
      <c r="G64" s="17">
        <v>5465.3248889857414</v>
      </c>
      <c r="H64" s="17">
        <v>20073.934901516353</v>
      </c>
      <c r="I64" s="17">
        <v>1423.8748780748217</v>
      </c>
      <c r="J64" s="17">
        <v>0</v>
      </c>
      <c r="K64" s="346">
        <v>0.77156452108911255</v>
      </c>
      <c r="L64" s="346">
        <v>0</v>
      </c>
      <c r="M64" s="346">
        <v>2.8036098382101093E-2</v>
      </c>
      <c r="N64" s="346">
        <v>0</v>
      </c>
      <c r="O64" s="346">
        <v>0.20039938052878647</v>
      </c>
      <c r="P64" s="346">
        <v>0</v>
      </c>
      <c r="Q64" s="346">
        <v>1</v>
      </c>
      <c r="R64" s="346">
        <v>1</v>
      </c>
    </row>
    <row r="65" spans="2:18">
      <c r="B65" s="10" t="s">
        <v>1938</v>
      </c>
      <c r="C65" s="10">
        <v>1</v>
      </c>
      <c r="D65" s="10" t="s">
        <v>47</v>
      </c>
      <c r="E65" s="17">
        <v>550</v>
      </c>
      <c r="F65" s="17">
        <v>12000</v>
      </c>
      <c r="G65" s="17">
        <v>550</v>
      </c>
      <c r="H65" s="17">
        <v>12000</v>
      </c>
      <c r="I65" s="17">
        <v>36</v>
      </c>
      <c r="J65" s="17">
        <v>0</v>
      </c>
      <c r="K65" s="346">
        <v>0</v>
      </c>
      <c r="L65" s="346">
        <v>0</v>
      </c>
      <c r="M65" s="346">
        <v>0.5</v>
      </c>
      <c r="N65" s="346">
        <v>0</v>
      </c>
      <c r="O65" s="346">
        <v>0.5</v>
      </c>
      <c r="P65" s="346">
        <v>0</v>
      </c>
      <c r="Q65" s="346">
        <v>1</v>
      </c>
      <c r="R65" s="346">
        <v>1</v>
      </c>
    </row>
    <row r="66" spans="2:18">
      <c r="B66" s="10" t="s">
        <v>281</v>
      </c>
      <c r="C66" s="10">
        <v>1</v>
      </c>
      <c r="D66" s="10" t="s">
        <v>47</v>
      </c>
      <c r="E66" s="17">
        <v>1061.9229089076593</v>
      </c>
      <c r="F66" s="17">
        <v>150</v>
      </c>
      <c r="G66" s="356">
        <v>1061.9229089076593</v>
      </c>
      <c r="H66" s="356">
        <v>150</v>
      </c>
      <c r="I66" s="17">
        <v>875.73039480518412</v>
      </c>
      <c r="J66" s="17">
        <v>0</v>
      </c>
      <c r="K66" s="346">
        <v>0.83639659069595018</v>
      </c>
      <c r="L66" s="346">
        <v>0</v>
      </c>
      <c r="M66" s="346">
        <v>2.064662896779091E-2</v>
      </c>
      <c r="N66" s="346">
        <v>0</v>
      </c>
      <c r="O66" s="346">
        <v>0.14295678033625892</v>
      </c>
      <c r="P66" s="346">
        <v>0</v>
      </c>
      <c r="Q66" s="346">
        <v>1</v>
      </c>
      <c r="R66" s="346">
        <v>1</v>
      </c>
    </row>
    <row r="67" spans="2:18">
      <c r="B67" s="10" t="s">
        <v>198</v>
      </c>
      <c r="C67" s="10">
        <v>4</v>
      </c>
      <c r="D67" s="10" t="s">
        <v>37</v>
      </c>
      <c r="E67" s="17">
        <v>500000</v>
      </c>
      <c r="F67" s="17">
        <v>9800000</v>
      </c>
      <c r="G67" s="17">
        <v>500000</v>
      </c>
      <c r="H67" s="17">
        <v>9800000</v>
      </c>
      <c r="I67" s="17">
        <v>48537.5</v>
      </c>
      <c r="J67" s="17">
        <v>940220</v>
      </c>
      <c r="K67" s="346">
        <v>0.53927375740406902</v>
      </c>
      <c r="L67" s="346">
        <v>0.35306630363106506</v>
      </c>
      <c r="M67" s="346">
        <v>3.0131341746072623E-2</v>
      </c>
      <c r="N67" s="346">
        <v>4.2309246772032079E-2</v>
      </c>
      <c r="O67" s="346">
        <v>0.43059490084985835</v>
      </c>
      <c r="P67" s="346">
        <v>0.60462444959690287</v>
      </c>
      <c r="Q67" s="346">
        <v>1</v>
      </c>
      <c r="R67" s="346">
        <v>1</v>
      </c>
    </row>
    <row r="68" spans="2:18">
      <c r="B68" s="10" t="s">
        <v>2114</v>
      </c>
      <c r="C68" s="10">
        <v>6</v>
      </c>
      <c r="D68" s="10" t="s">
        <v>37</v>
      </c>
      <c r="E68" s="17">
        <v>1000</v>
      </c>
      <c r="F68" s="17">
        <v>66000</v>
      </c>
      <c r="G68" s="17">
        <v>1000</v>
      </c>
      <c r="H68" s="17">
        <v>66000</v>
      </c>
      <c r="I68" s="17">
        <v>700</v>
      </c>
      <c r="J68" s="17">
        <v>39861.599999999999</v>
      </c>
      <c r="K68" s="346">
        <v>0</v>
      </c>
      <c r="L68" s="346">
        <v>0.39752543801553375</v>
      </c>
      <c r="M68" s="346">
        <v>0.48499999999999999</v>
      </c>
      <c r="N68" s="346">
        <v>7.3965922090432887E-2</v>
      </c>
      <c r="O68" s="346">
        <v>0.51500000000000001</v>
      </c>
      <c r="P68" s="346">
        <v>0.52850863989403329</v>
      </c>
      <c r="Q68" s="346">
        <v>1</v>
      </c>
      <c r="R68" s="346">
        <v>1</v>
      </c>
    </row>
    <row r="69" spans="2:18">
      <c r="B69" s="10" t="s">
        <v>2119</v>
      </c>
      <c r="C69" s="10">
        <v>6</v>
      </c>
      <c r="D69" s="10" t="s">
        <v>37</v>
      </c>
      <c r="E69" s="17">
        <v>1000</v>
      </c>
      <c r="F69" s="17">
        <v>55000</v>
      </c>
      <c r="G69" s="17">
        <v>1000</v>
      </c>
      <c r="H69" s="17">
        <v>55000</v>
      </c>
      <c r="I69" s="17">
        <v>700</v>
      </c>
      <c r="J69" s="17">
        <v>36481.699999999997</v>
      </c>
      <c r="K69" s="346">
        <v>0</v>
      </c>
      <c r="L69" s="346">
        <v>0.13830907002689022</v>
      </c>
      <c r="M69" s="346">
        <v>0.48499999999999999</v>
      </c>
      <c r="N69" s="346">
        <v>0.12316586124001896</v>
      </c>
      <c r="O69" s="346">
        <v>0.51500000000000001</v>
      </c>
      <c r="P69" s="346">
        <v>0.73852506873309087</v>
      </c>
      <c r="Q69" s="346">
        <v>1</v>
      </c>
      <c r="R69" s="346">
        <v>1</v>
      </c>
    </row>
    <row r="70" spans="2:18">
      <c r="B70" s="10" t="s">
        <v>2122</v>
      </c>
      <c r="C70" s="10">
        <v>7</v>
      </c>
      <c r="D70" s="10" t="s">
        <v>37</v>
      </c>
      <c r="E70" s="17">
        <v>100000</v>
      </c>
      <c r="F70" s="17">
        <v>0</v>
      </c>
      <c r="G70" s="356">
        <v>100000</v>
      </c>
      <c r="H70" s="356">
        <v>0</v>
      </c>
      <c r="I70" s="17">
        <v>65852</v>
      </c>
      <c r="J70" s="17">
        <v>0</v>
      </c>
      <c r="K70" s="346">
        <v>0.30331652797181557</v>
      </c>
      <c r="L70" s="346">
        <v>0</v>
      </c>
      <c r="M70" s="346">
        <v>7.4621879365850699E-2</v>
      </c>
      <c r="N70" s="346">
        <v>0</v>
      </c>
      <c r="O70" s="346">
        <v>0.62206159266233374</v>
      </c>
      <c r="P70" s="346">
        <v>0</v>
      </c>
      <c r="Q70" s="346">
        <v>1</v>
      </c>
      <c r="R70" s="346">
        <v>1</v>
      </c>
    </row>
    <row r="71" spans="2:18">
      <c r="B71" s="10" t="s">
        <v>219</v>
      </c>
      <c r="C71" s="10">
        <v>4</v>
      </c>
      <c r="D71" s="10" t="s">
        <v>37</v>
      </c>
      <c r="E71" s="17">
        <v>150000</v>
      </c>
      <c r="F71" s="17">
        <v>800000</v>
      </c>
      <c r="G71" s="356">
        <v>150000</v>
      </c>
      <c r="H71" s="356">
        <v>800000</v>
      </c>
      <c r="I71" s="17">
        <v>120000</v>
      </c>
      <c r="J71" s="17">
        <v>480000</v>
      </c>
      <c r="K71" s="346">
        <v>0.68233333333333335</v>
      </c>
      <c r="L71" s="346">
        <v>0.76175000000000004</v>
      </c>
      <c r="M71" s="346">
        <v>3.9E-2</v>
      </c>
      <c r="N71" s="346">
        <v>2.9250000000000002E-2</v>
      </c>
      <c r="O71" s="346">
        <v>0.27866666666666667</v>
      </c>
      <c r="P71" s="346">
        <v>0.20899999999999999</v>
      </c>
      <c r="Q71" s="346">
        <v>1</v>
      </c>
      <c r="R71" s="346">
        <v>1</v>
      </c>
    </row>
    <row r="72" spans="2:18">
      <c r="B72" s="10" t="s">
        <v>1939</v>
      </c>
      <c r="C72" s="10">
        <v>4</v>
      </c>
      <c r="D72" s="10" t="s">
        <v>37</v>
      </c>
      <c r="E72" s="17">
        <v>12000</v>
      </c>
      <c r="F72" s="17">
        <v>750000</v>
      </c>
      <c r="G72" s="356">
        <v>12000</v>
      </c>
      <c r="H72" s="356">
        <v>750000</v>
      </c>
      <c r="I72" s="17">
        <v>7143.6</v>
      </c>
      <c r="J72" s="17">
        <v>241035</v>
      </c>
      <c r="K72" s="346">
        <v>3.9475894506971275E-2</v>
      </c>
      <c r="L72" s="346">
        <v>0.26647582301325534</v>
      </c>
      <c r="M72" s="346">
        <v>0.11792373593146312</v>
      </c>
      <c r="N72" s="346">
        <v>0.109216503827245</v>
      </c>
      <c r="O72" s="346">
        <v>0.84260036956156548</v>
      </c>
      <c r="P72" s="346">
        <v>0.62430767315949964</v>
      </c>
      <c r="Q72" s="346">
        <v>1</v>
      </c>
      <c r="R72" s="346">
        <v>1</v>
      </c>
    </row>
    <row r="73" spans="2:18">
      <c r="B73" s="10" t="s">
        <v>199</v>
      </c>
      <c r="C73" s="10">
        <v>2</v>
      </c>
      <c r="D73" s="10" t="s">
        <v>48</v>
      </c>
      <c r="E73" s="17">
        <v>25</v>
      </c>
      <c r="F73" s="17">
        <v>750</v>
      </c>
      <c r="G73" s="17">
        <v>25</v>
      </c>
      <c r="H73" s="17">
        <v>750</v>
      </c>
      <c r="I73" s="17">
        <v>20</v>
      </c>
      <c r="J73" s="17">
        <v>445.27499999999998</v>
      </c>
      <c r="K73" s="346">
        <v>0</v>
      </c>
      <c r="L73" s="346">
        <v>1.4777384762225591E-2</v>
      </c>
      <c r="M73" s="346">
        <v>0.48500000000000004</v>
      </c>
      <c r="N73" s="346">
        <v>0.36935601594520234</v>
      </c>
      <c r="O73" s="346">
        <v>0.51500000000000001</v>
      </c>
      <c r="P73" s="346">
        <v>0.61586659929257204</v>
      </c>
      <c r="Q73" s="346">
        <v>1</v>
      </c>
      <c r="R73" s="346">
        <v>1</v>
      </c>
    </row>
    <row r="74" spans="2:18">
      <c r="B74" s="10" t="s">
        <v>1940</v>
      </c>
      <c r="C74" s="10">
        <v>3</v>
      </c>
      <c r="D74" s="10" t="s">
        <v>48</v>
      </c>
      <c r="E74" s="17">
        <v>750</v>
      </c>
      <c r="F74" s="17">
        <v>3500</v>
      </c>
      <c r="G74" s="17">
        <v>750</v>
      </c>
      <c r="H74" s="17">
        <v>3500</v>
      </c>
      <c r="I74" s="17">
        <v>283.85999999999996</v>
      </c>
      <c r="J74" s="17">
        <v>966.90750000000003</v>
      </c>
      <c r="K74" s="346">
        <v>0.25819065736630742</v>
      </c>
      <c r="L74" s="346">
        <v>0.23140527920199191</v>
      </c>
      <c r="M74" s="346">
        <v>6.890720777848236E-2</v>
      </c>
      <c r="N74" s="346">
        <v>6.2239666152139682E-2</v>
      </c>
      <c r="O74" s="346">
        <v>0.67290213485521033</v>
      </c>
      <c r="P74" s="346">
        <v>0.70635505464586845</v>
      </c>
      <c r="Q74" s="346">
        <v>1</v>
      </c>
      <c r="R74" s="346">
        <v>1</v>
      </c>
    </row>
    <row r="75" spans="2:18">
      <c r="B75" s="10" t="s">
        <v>57</v>
      </c>
      <c r="C75" s="10">
        <v>2</v>
      </c>
      <c r="D75" s="10" t="s">
        <v>48</v>
      </c>
      <c r="E75" s="17">
        <v>460</v>
      </c>
      <c r="F75" s="17">
        <v>24000</v>
      </c>
      <c r="G75" s="356">
        <v>460</v>
      </c>
      <c r="H75" s="356">
        <v>24000</v>
      </c>
      <c r="I75" s="17">
        <v>46</v>
      </c>
      <c r="J75" s="17">
        <v>1975.412</v>
      </c>
      <c r="K75" s="346">
        <v>0</v>
      </c>
      <c r="L75" s="346">
        <v>0</v>
      </c>
      <c r="M75" s="346">
        <v>0.48500000000000004</v>
      </c>
      <c r="N75" s="346">
        <v>0.2745999315585812</v>
      </c>
      <c r="O75" s="346">
        <v>0.51500000000000001</v>
      </c>
      <c r="P75" s="346">
        <v>0.7254000684414188</v>
      </c>
      <c r="Q75" s="346">
        <v>1</v>
      </c>
      <c r="R75" s="346">
        <v>1</v>
      </c>
    </row>
    <row r="76" spans="2:18">
      <c r="B76" s="10" t="s">
        <v>1941</v>
      </c>
      <c r="C76" s="10">
        <v>2</v>
      </c>
      <c r="D76" s="10" t="s">
        <v>48</v>
      </c>
      <c r="E76" s="17">
        <v>46</v>
      </c>
      <c r="F76" s="17">
        <v>2400</v>
      </c>
      <c r="G76" s="356">
        <v>46</v>
      </c>
      <c r="H76" s="356">
        <v>2400</v>
      </c>
      <c r="I76" s="17">
        <v>13.799999999999999</v>
      </c>
      <c r="J76" s="17">
        <v>257.10672</v>
      </c>
      <c r="K76" s="346">
        <v>0</v>
      </c>
      <c r="L76" s="346">
        <v>6.605630533499865E-2</v>
      </c>
      <c r="M76" s="346">
        <v>0.48499999999999999</v>
      </c>
      <c r="N76" s="346">
        <v>4.2196329990908055E-2</v>
      </c>
      <c r="O76" s="346">
        <v>0.51500000000000001</v>
      </c>
      <c r="P76" s="346">
        <v>0.89174736467409343</v>
      </c>
      <c r="Q76" s="346">
        <v>1</v>
      </c>
      <c r="R76" s="346">
        <v>1</v>
      </c>
    </row>
    <row r="77" spans="2:18">
      <c r="B77" s="10" t="s">
        <v>58</v>
      </c>
      <c r="C77" s="10">
        <v>2</v>
      </c>
      <c r="D77" s="10" t="s">
        <v>48</v>
      </c>
      <c r="E77" s="17">
        <v>95</v>
      </c>
      <c r="F77" s="17">
        <v>5000</v>
      </c>
      <c r="G77" s="356">
        <v>95</v>
      </c>
      <c r="H77" s="356">
        <v>5000</v>
      </c>
      <c r="I77" s="17">
        <v>42.75</v>
      </c>
      <c r="J77" s="17">
        <v>696.89500000000021</v>
      </c>
      <c r="K77" s="346">
        <v>0</v>
      </c>
      <c r="L77" s="346">
        <v>7.5670796891927739E-2</v>
      </c>
      <c r="M77" s="346">
        <v>0.48499999999999993</v>
      </c>
      <c r="N77" s="346">
        <v>6.4592800924099039E-2</v>
      </c>
      <c r="O77" s="346">
        <v>0.51500000000000012</v>
      </c>
      <c r="P77" s="346">
        <v>0.85973640218397307</v>
      </c>
      <c r="Q77" s="346">
        <v>1</v>
      </c>
      <c r="R77" s="346">
        <v>1</v>
      </c>
    </row>
    <row r="78" spans="2:18">
      <c r="B78" s="10" t="s">
        <v>2125</v>
      </c>
      <c r="C78" s="10">
        <v>2</v>
      </c>
      <c r="D78" s="10" t="s">
        <v>48</v>
      </c>
      <c r="E78" s="17">
        <v>4</v>
      </c>
      <c r="F78" s="17">
        <v>35</v>
      </c>
      <c r="G78" s="356">
        <v>4</v>
      </c>
      <c r="H78" s="356">
        <v>35</v>
      </c>
      <c r="I78" s="17">
        <v>2</v>
      </c>
      <c r="J78" s="17">
        <v>8.4874999999999989</v>
      </c>
      <c r="K78" s="346">
        <v>0</v>
      </c>
      <c r="L78" s="346">
        <v>0</v>
      </c>
      <c r="M78" s="346">
        <v>0.48499999999999999</v>
      </c>
      <c r="N78" s="346">
        <v>1</v>
      </c>
      <c r="O78" s="346">
        <v>0.51500000000000001</v>
      </c>
      <c r="P78" s="346">
        <v>0</v>
      </c>
      <c r="Q78" s="346">
        <v>1</v>
      </c>
      <c r="R78" s="346">
        <v>1</v>
      </c>
    </row>
    <row r="79" spans="2:18">
      <c r="B79" s="10" t="s">
        <v>2127</v>
      </c>
      <c r="C79" s="10">
        <v>2</v>
      </c>
      <c r="D79" s="10" t="s">
        <v>48</v>
      </c>
      <c r="E79" s="17">
        <v>1650</v>
      </c>
      <c r="F79" s="17">
        <v>85000</v>
      </c>
      <c r="G79" s="356">
        <v>1650</v>
      </c>
      <c r="H79" s="356">
        <v>85000</v>
      </c>
      <c r="I79" s="17">
        <v>825</v>
      </c>
      <c r="J79" s="17">
        <v>12406.215</v>
      </c>
      <c r="K79" s="346">
        <v>0</v>
      </c>
      <c r="L79" s="346">
        <v>0</v>
      </c>
      <c r="M79" s="346">
        <v>0.48499999999999999</v>
      </c>
      <c r="N79" s="346">
        <v>0.38952653972222795</v>
      </c>
      <c r="O79" s="346">
        <v>0.51500000000000001</v>
      </c>
      <c r="P79" s="346">
        <v>0.61047346027777216</v>
      </c>
      <c r="Q79" s="346">
        <v>1</v>
      </c>
      <c r="R79" s="346">
        <v>1</v>
      </c>
    </row>
    <row r="80" spans="2:18">
      <c r="B80" s="10" t="s">
        <v>2134</v>
      </c>
      <c r="C80" s="10">
        <v>2</v>
      </c>
      <c r="D80" s="10" t="s">
        <v>48</v>
      </c>
      <c r="E80" s="17">
        <v>80</v>
      </c>
      <c r="F80" s="17">
        <v>5000</v>
      </c>
      <c r="G80" s="356">
        <v>80</v>
      </c>
      <c r="H80" s="356">
        <v>5000</v>
      </c>
      <c r="I80" s="17">
        <v>32</v>
      </c>
      <c r="J80" s="17">
        <v>1049.43</v>
      </c>
      <c r="K80" s="346">
        <v>0</v>
      </c>
      <c r="L80" s="346">
        <v>0</v>
      </c>
      <c r="M80" s="346">
        <v>0.48499999999999999</v>
      </c>
      <c r="N80" s="346">
        <v>0.54507875703953579</v>
      </c>
      <c r="O80" s="346">
        <v>0.51500000000000001</v>
      </c>
      <c r="P80" s="346">
        <v>0.45492124296046421</v>
      </c>
      <c r="Q80" s="346">
        <v>1</v>
      </c>
      <c r="R80" s="346">
        <v>1</v>
      </c>
    </row>
    <row r="81" spans="2:18">
      <c r="B81" s="10" t="s">
        <v>2113</v>
      </c>
      <c r="C81" s="10">
        <v>2</v>
      </c>
      <c r="D81" s="10" t="s">
        <v>49</v>
      </c>
      <c r="E81" s="17">
        <v>20</v>
      </c>
      <c r="F81" s="17">
        <v>900</v>
      </c>
      <c r="G81" s="17">
        <v>20</v>
      </c>
      <c r="H81" s="17">
        <v>900</v>
      </c>
      <c r="I81" s="17">
        <v>16</v>
      </c>
      <c r="J81" s="17">
        <v>582.86625000000004</v>
      </c>
      <c r="K81" s="346">
        <v>0</v>
      </c>
      <c r="L81" s="346">
        <v>1.7851436757575175E-2</v>
      </c>
      <c r="M81" s="346">
        <v>0.48499999999999999</v>
      </c>
      <c r="N81" s="346">
        <v>0.27378708237095561</v>
      </c>
      <c r="O81" s="346">
        <v>0.51500000000000001</v>
      </c>
      <c r="P81" s="346">
        <v>0.70836148087146922</v>
      </c>
      <c r="Q81" s="346">
        <v>1</v>
      </c>
      <c r="R81" s="346">
        <v>1</v>
      </c>
    </row>
    <row r="82" spans="2:18">
      <c r="B82" s="10" t="s">
        <v>473</v>
      </c>
      <c r="C82" s="10">
        <v>2</v>
      </c>
      <c r="D82" s="10" t="s">
        <v>49</v>
      </c>
      <c r="E82" s="17">
        <v>400</v>
      </c>
      <c r="F82" s="17">
        <v>25000</v>
      </c>
      <c r="G82" s="356">
        <v>400</v>
      </c>
      <c r="H82" s="356">
        <v>25000</v>
      </c>
      <c r="I82" s="17">
        <v>240</v>
      </c>
      <c r="J82" s="17">
        <v>10034.09</v>
      </c>
      <c r="K82" s="346">
        <v>0</v>
      </c>
      <c r="L82" s="346">
        <v>7.7459939067718142E-2</v>
      </c>
      <c r="M82" s="346">
        <v>0.48499999999999999</v>
      </c>
      <c r="N82" s="346">
        <v>0.12956331864673329</v>
      </c>
      <c r="O82" s="346">
        <v>0.51500000000000001</v>
      </c>
      <c r="P82" s="346">
        <v>0.79297674228554849</v>
      </c>
      <c r="Q82" s="346">
        <v>1</v>
      </c>
      <c r="R82" s="346">
        <v>1</v>
      </c>
    </row>
    <row r="83" spans="2:18">
      <c r="B83" s="10" t="s">
        <v>2120</v>
      </c>
      <c r="C83" s="10">
        <v>2</v>
      </c>
      <c r="D83" s="10" t="s">
        <v>49</v>
      </c>
      <c r="E83" s="17">
        <v>4</v>
      </c>
      <c r="F83" s="17">
        <v>120</v>
      </c>
      <c r="G83" s="356">
        <v>4</v>
      </c>
      <c r="H83" s="356">
        <v>120</v>
      </c>
      <c r="I83" s="17">
        <v>2.8</v>
      </c>
      <c r="J83" s="17">
        <v>64.727400000000003</v>
      </c>
      <c r="K83" s="346">
        <v>0</v>
      </c>
      <c r="L83" s="346">
        <v>0</v>
      </c>
      <c r="M83" s="346">
        <v>0.48499999999999999</v>
      </c>
      <c r="N83" s="346">
        <v>0.55387054014219639</v>
      </c>
      <c r="O83" s="346">
        <v>0.51500000000000001</v>
      </c>
      <c r="P83" s="346">
        <v>0.44612945985780361</v>
      </c>
      <c r="Q83" s="346">
        <v>1</v>
      </c>
      <c r="R83" s="346">
        <v>1</v>
      </c>
    </row>
    <row r="84" spans="2:18">
      <c r="B84" s="10" t="s">
        <v>229</v>
      </c>
      <c r="C84" s="10">
        <v>2</v>
      </c>
      <c r="D84" s="10" t="s">
        <v>49</v>
      </c>
      <c r="E84" s="17">
        <v>10</v>
      </c>
      <c r="F84" s="17">
        <v>0</v>
      </c>
      <c r="G84" s="356">
        <v>10</v>
      </c>
      <c r="H84" s="356">
        <v>0</v>
      </c>
      <c r="I84" s="17">
        <v>9</v>
      </c>
      <c r="J84" s="17">
        <v>0</v>
      </c>
      <c r="K84" s="346">
        <v>0</v>
      </c>
      <c r="L84" s="346">
        <v>0</v>
      </c>
      <c r="M84" s="346">
        <v>0.48500000000000004</v>
      </c>
      <c r="N84" s="346">
        <v>0</v>
      </c>
      <c r="O84" s="346">
        <v>0.51500000000000012</v>
      </c>
      <c r="P84" s="346">
        <v>0</v>
      </c>
      <c r="Q84" s="346">
        <v>1</v>
      </c>
      <c r="R84" s="346">
        <v>1</v>
      </c>
    </row>
    <row r="85" spans="2:18">
      <c r="B85" s="10" t="s">
        <v>1942</v>
      </c>
      <c r="C85" s="10">
        <v>2</v>
      </c>
      <c r="D85" s="10" t="s">
        <v>49</v>
      </c>
      <c r="E85" s="17">
        <v>10</v>
      </c>
      <c r="F85" s="17">
        <v>0</v>
      </c>
      <c r="G85" s="356">
        <v>10</v>
      </c>
      <c r="H85" s="356">
        <v>0</v>
      </c>
      <c r="I85" s="17">
        <v>9</v>
      </c>
      <c r="J85" s="17">
        <v>0</v>
      </c>
      <c r="K85" s="346">
        <v>0</v>
      </c>
      <c r="L85" s="346">
        <v>0</v>
      </c>
      <c r="M85" s="346">
        <v>0.48500000000000004</v>
      </c>
      <c r="N85" s="346">
        <v>0</v>
      </c>
      <c r="O85" s="346">
        <v>0.51500000000000012</v>
      </c>
      <c r="P85" s="346">
        <v>0</v>
      </c>
      <c r="Q85" s="346">
        <v>1</v>
      </c>
      <c r="R85" s="346">
        <v>1</v>
      </c>
    </row>
    <row r="86" spans="2:18">
      <c r="B86" s="10" t="s">
        <v>2126</v>
      </c>
      <c r="C86" s="10">
        <v>2</v>
      </c>
      <c r="D86" s="10" t="s">
        <v>49</v>
      </c>
      <c r="E86" s="17">
        <v>10</v>
      </c>
      <c r="F86" s="17">
        <v>400</v>
      </c>
      <c r="G86" s="356">
        <v>10</v>
      </c>
      <c r="H86" s="356">
        <v>400</v>
      </c>
      <c r="I86" s="17">
        <v>8</v>
      </c>
      <c r="J86" s="17">
        <v>360</v>
      </c>
      <c r="K86" s="346">
        <v>0</v>
      </c>
      <c r="L86" s="346">
        <v>2.9375000000000002E-2</v>
      </c>
      <c r="M86" s="346">
        <v>0.48499999999999999</v>
      </c>
      <c r="N86" s="346">
        <v>0.255</v>
      </c>
      <c r="O86" s="346">
        <v>0.51500000000000001</v>
      </c>
      <c r="P86" s="346">
        <v>0.71562499999999996</v>
      </c>
      <c r="Q86" s="346">
        <v>1</v>
      </c>
      <c r="R86" s="346">
        <v>1</v>
      </c>
    </row>
    <row r="87" spans="2:18">
      <c r="B87" s="10" t="s">
        <v>2128</v>
      </c>
      <c r="C87" s="10">
        <v>2</v>
      </c>
      <c r="D87" s="10" t="s">
        <v>49</v>
      </c>
      <c r="E87" s="17">
        <v>18</v>
      </c>
      <c r="F87" s="17">
        <v>750</v>
      </c>
      <c r="G87" s="356">
        <v>18</v>
      </c>
      <c r="H87" s="356">
        <v>750</v>
      </c>
      <c r="I87" s="17">
        <v>16.2</v>
      </c>
      <c r="J87" s="17">
        <v>675</v>
      </c>
      <c r="K87" s="346">
        <v>0</v>
      </c>
      <c r="L87" s="346">
        <v>3.0079999999999999E-2</v>
      </c>
      <c r="M87" s="346">
        <v>0.48500000000000004</v>
      </c>
      <c r="N87" s="346">
        <v>0.24948000000000001</v>
      </c>
      <c r="O87" s="346">
        <v>0.51500000000000001</v>
      </c>
      <c r="P87" s="346">
        <v>0.72044000000000008</v>
      </c>
      <c r="Q87" s="346">
        <v>1</v>
      </c>
      <c r="R87" s="346">
        <v>1</v>
      </c>
    </row>
    <row r="88" spans="2:18">
      <c r="B88" s="10" t="s">
        <v>2135</v>
      </c>
      <c r="C88" s="10">
        <v>2</v>
      </c>
      <c r="D88" s="10" t="s">
        <v>49</v>
      </c>
      <c r="E88" s="17">
        <v>20</v>
      </c>
      <c r="F88" s="17">
        <v>900</v>
      </c>
      <c r="G88" s="356">
        <v>20</v>
      </c>
      <c r="H88" s="356">
        <v>900</v>
      </c>
      <c r="I88" s="17">
        <v>18</v>
      </c>
      <c r="J88" s="17">
        <v>713.79600000000005</v>
      </c>
      <c r="K88" s="346">
        <v>0</v>
      </c>
      <c r="L88" s="346">
        <v>2.6074676798412987E-2</v>
      </c>
      <c r="M88" s="346">
        <v>0.48500000000000004</v>
      </c>
      <c r="N88" s="346">
        <v>0.21700317737841066</v>
      </c>
      <c r="O88" s="346">
        <v>0.51500000000000012</v>
      </c>
      <c r="P88" s="346">
        <v>0.7569221458231763</v>
      </c>
      <c r="Q88" s="346">
        <v>1</v>
      </c>
      <c r="R88" s="346">
        <v>1</v>
      </c>
    </row>
    <row r="89" spans="2:18">
      <c r="B89" s="10" t="s">
        <v>612</v>
      </c>
      <c r="C89" s="10">
        <v>2</v>
      </c>
      <c r="D89" s="10" t="s">
        <v>50</v>
      </c>
      <c r="E89" s="17">
        <v>240</v>
      </c>
      <c r="F89" s="17">
        <v>13200</v>
      </c>
      <c r="G89" s="17">
        <v>240</v>
      </c>
      <c r="H89" s="17">
        <v>13200</v>
      </c>
      <c r="I89" s="17">
        <v>216</v>
      </c>
      <c r="J89" s="17">
        <v>8188.875</v>
      </c>
      <c r="K89" s="346">
        <v>0</v>
      </c>
      <c r="L89" s="346">
        <v>0.15835508540550441</v>
      </c>
      <c r="M89" s="346">
        <v>0.48499999999999993</v>
      </c>
      <c r="N89" s="346">
        <v>1.7795484727755644E-2</v>
      </c>
      <c r="O89" s="346">
        <v>0.51500000000000001</v>
      </c>
      <c r="P89" s="346">
        <v>0.82384942986674004</v>
      </c>
      <c r="Q89" s="346">
        <v>1</v>
      </c>
      <c r="R89" s="346">
        <v>1</v>
      </c>
    </row>
    <row r="90" spans="2:18">
      <c r="B90" s="10" t="s">
        <v>2115</v>
      </c>
      <c r="C90" s="10">
        <v>2</v>
      </c>
      <c r="D90" s="10" t="s">
        <v>50</v>
      </c>
      <c r="E90" s="17">
        <v>15</v>
      </c>
      <c r="F90" s="17">
        <v>240</v>
      </c>
      <c r="G90" s="17">
        <v>15</v>
      </c>
      <c r="H90" s="17">
        <v>240</v>
      </c>
      <c r="I90" s="17">
        <v>13.5</v>
      </c>
      <c r="J90" s="17">
        <v>66.624000000000009</v>
      </c>
      <c r="K90" s="346">
        <v>0</v>
      </c>
      <c r="L90" s="346">
        <v>0</v>
      </c>
      <c r="M90" s="346">
        <v>0.48499999999999993</v>
      </c>
      <c r="N90" s="346">
        <v>1</v>
      </c>
      <c r="O90" s="346">
        <v>0.51500000000000001</v>
      </c>
      <c r="P90" s="346">
        <v>0</v>
      </c>
      <c r="Q90" s="346">
        <v>1</v>
      </c>
      <c r="R90" s="346">
        <v>1</v>
      </c>
    </row>
    <row r="91" spans="2:18">
      <c r="B91" s="10" t="s">
        <v>206</v>
      </c>
      <c r="C91" s="10">
        <v>2</v>
      </c>
      <c r="D91" s="10" t="s">
        <v>50</v>
      </c>
      <c r="E91" s="17">
        <v>5</v>
      </c>
      <c r="F91" s="17">
        <v>150</v>
      </c>
      <c r="G91" s="17">
        <v>5</v>
      </c>
      <c r="H91" s="17">
        <v>150</v>
      </c>
      <c r="I91" s="17">
        <v>2.25</v>
      </c>
      <c r="J91" s="17">
        <v>59.846249999999998</v>
      </c>
      <c r="K91" s="346">
        <v>0</v>
      </c>
      <c r="L91" s="346">
        <v>1.1780186728491761E-2</v>
      </c>
      <c r="M91" s="346">
        <v>0.48500000000000004</v>
      </c>
      <c r="N91" s="346">
        <v>0.22632997054953319</v>
      </c>
      <c r="O91" s="346">
        <v>0.51500000000000012</v>
      </c>
      <c r="P91" s="346">
        <v>0.76188984272197502</v>
      </c>
      <c r="Q91" s="346">
        <v>1</v>
      </c>
      <c r="R91" s="346">
        <v>1</v>
      </c>
    </row>
    <row r="92" spans="2:18">
      <c r="B92" s="10" t="s">
        <v>622</v>
      </c>
      <c r="C92" s="10">
        <v>3</v>
      </c>
      <c r="D92" s="10" t="s">
        <v>50</v>
      </c>
      <c r="E92" s="17">
        <v>1250</v>
      </c>
      <c r="F92" s="17">
        <v>50000</v>
      </c>
      <c r="G92" s="17">
        <v>1250</v>
      </c>
      <c r="H92" s="17">
        <v>50000</v>
      </c>
      <c r="I92" s="17">
        <v>875</v>
      </c>
      <c r="J92" s="17">
        <v>28710.391000000003</v>
      </c>
      <c r="K92" s="346">
        <v>0</v>
      </c>
      <c r="L92" s="346">
        <v>0</v>
      </c>
      <c r="M92" s="346">
        <v>0.48499999999999999</v>
      </c>
      <c r="N92" s="346">
        <v>0.13799697120112364</v>
      </c>
      <c r="O92" s="346">
        <v>0.5149999999999999</v>
      </c>
      <c r="P92" s="346">
        <v>0.86200302879887636</v>
      </c>
      <c r="Q92" s="346">
        <v>1</v>
      </c>
      <c r="R92" s="346">
        <v>1</v>
      </c>
    </row>
    <row r="93" spans="2:18">
      <c r="B93" s="10" t="s">
        <v>469</v>
      </c>
      <c r="C93" s="10">
        <v>2</v>
      </c>
      <c r="D93" s="10" t="s">
        <v>50</v>
      </c>
      <c r="E93" s="17">
        <v>30</v>
      </c>
      <c r="F93" s="17">
        <v>1250</v>
      </c>
      <c r="G93" s="17">
        <v>30</v>
      </c>
      <c r="H93" s="17">
        <v>1250</v>
      </c>
      <c r="I93" s="17">
        <v>18</v>
      </c>
      <c r="J93" s="17">
        <v>531.86249999999995</v>
      </c>
      <c r="K93" s="346">
        <v>0</v>
      </c>
      <c r="L93" s="346">
        <v>1.3255305647606292E-2</v>
      </c>
      <c r="M93" s="346">
        <v>0.48499999999999993</v>
      </c>
      <c r="N93" s="346">
        <v>0.15523279042985735</v>
      </c>
      <c r="O93" s="346">
        <v>0.51500000000000001</v>
      </c>
      <c r="P93" s="346">
        <v>0.83151190392253649</v>
      </c>
      <c r="Q93" s="346">
        <v>1</v>
      </c>
      <c r="R93" s="346">
        <v>1</v>
      </c>
    </row>
    <row r="94" spans="2:18">
      <c r="B94" s="10" t="s">
        <v>623</v>
      </c>
      <c r="C94" s="10">
        <v>4</v>
      </c>
      <c r="D94" s="10" t="s">
        <v>50</v>
      </c>
      <c r="E94" s="17">
        <v>100</v>
      </c>
      <c r="F94" s="17">
        <v>3000</v>
      </c>
      <c r="G94" s="17">
        <v>100</v>
      </c>
      <c r="H94" s="17">
        <v>3000</v>
      </c>
      <c r="I94" s="17">
        <v>39.341999999999999</v>
      </c>
      <c r="J94" s="17">
        <v>391.33500000000004</v>
      </c>
      <c r="K94" s="346">
        <v>0</v>
      </c>
      <c r="L94" s="346">
        <v>0</v>
      </c>
      <c r="M94" s="346">
        <v>0.36215749072238318</v>
      </c>
      <c r="N94" s="346">
        <v>0.39602897773007772</v>
      </c>
      <c r="O94" s="346">
        <v>0.63784250927761676</v>
      </c>
      <c r="P94" s="346">
        <v>0.60397102226992216</v>
      </c>
      <c r="Q94" s="346">
        <v>1</v>
      </c>
      <c r="R94" s="346">
        <v>1</v>
      </c>
    </row>
    <row r="95" spans="2:18">
      <c r="B95" s="10" t="s">
        <v>213</v>
      </c>
      <c r="C95" s="10">
        <v>6</v>
      </c>
      <c r="D95" s="10" t="s">
        <v>50</v>
      </c>
      <c r="E95" s="17">
        <v>40000</v>
      </c>
      <c r="F95" s="17">
        <v>2000000</v>
      </c>
      <c r="G95" s="17">
        <v>40000</v>
      </c>
      <c r="H95" s="17">
        <v>2000000</v>
      </c>
      <c r="I95" s="17">
        <v>15520</v>
      </c>
      <c r="J95" s="17">
        <v>1495840</v>
      </c>
      <c r="K95" s="346">
        <v>0</v>
      </c>
      <c r="L95" s="346">
        <v>0.24660391485720398</v>
      </c>
      <c r="M95" s="346">
        <v>1</v>
      </c>
      <c r="N95" s="346">
        <v>8.9528291795913997E-2</v>
      </c>
      <c r="O95" s="346">
        <v>0</v>
      </c>
      <c r="P95" s="346">
        <v>0.66386779334688206</v>
      </c>
      <c r="Q95" s="346">
        <v>1</v>
      </c>
      <c r="R95" s="346">
        <v>1</v>
      </c>
    </row>
    <row r="96" spans="2:18">
      <c r="B96" s="10" t="s">
        <v>2155</v>
      </c>
      <c r="C96" s="10">
        <v>2</v>
      </c>
      <c r="D96" s="10" t="s">
        <v>50</v>
      </c>
      <c r="E96" s="17">
        <v>80</v>
      </c>
      <c r="F96" s="17">
        <v>4000</v>
      </c>
      <c r="G96" s="17">
        <v>80</v>
      </c>
      <c r="H96" s="17">
        <v>4000</v>
      </c>
      <c r="I96" s="17">
        <v>72</v>
      </c>
      <c r="J96" s="17">
        <v>2861.5680000000002</v>
      </c>
      <c r="K96" s="346">
        <v>0</v>
      </c>
      <c r="L96" s="346">
        <v>0.22966988727858292</v>
      </c>
      <c r="M96" s="346">
        <v>0.48500000000000004</v>
      </c>
      <c r="N96" s="346">
        <v>3.2256441223832526E-2</v>
      </c>
      <c r="O96" s="346">
        <v>0.51500000000000012</v>
      </c>
      <c r="P96" s="346">
        <v>0.73807367149758452</v>
      </c>
      <c r="Q96" s="346">
        <v>1</v>
      </c>
      <c r="R96" s="346">
        <v>1</v>
      </c>
    </row>
    <row r="97" spans="2:18">
      <c r="B97" s="10" t="s">
        <v>2136</v>
      </c>
      <c r="C97" s="10">
        <v>2</v>
      </c>
      <c r="D97" s="10" t="s">
        <v>50</v>
      </c>
      <c r="E97" s="17">
        <v>140</v>
      </c>
      <c r="F97" s="17">
        <v>8400</v>
      </c>
      <c r="G97" s="356">
        <v>140</v>
      </c>
      <c r="H97" s="356">
        <v>8400</v>
      </c>
      <c r="I97" s="17">
        <v>28</v>
      </c>
      <c r="J97" s="17">
        <v>1123.038</v>
      </c>
      <c r="K97" s="346">
        <v>0</v>
      </c>
      <c r="L97" s="346">
        <v>0</v>
      </c>
      <c r="M97" s="346">
        <v>0.48499999999999993</v>
      </c>
      <c r="N97" s="346">
        <v>0.17008863457870527</v>
      </c>
      <c r="O97" s="346">
        <v>0.51500000000000001</v>
      </c>
      <c r="P97" s="346">
        <v>0.82991136542129473</v>
      </c>
      <c r="Q97" s="346">
        <v>1</v>
      </c>
      <c r="R97" s="346">
        <v>1</v>
      </c>
    </row>
    <row r="98" spans="2:18">
      <c r="B98" s="10" t="s">
        <v>2139</v>
      </c>
      <c r="C98" s="10">
        <v>2</v>
      </c>
      <c r="D98" s="10" t="s">
        <v>50</v>
      </c>
      <c r="E98" s="17">
        <v>5</v>
      </c>
      <c r="F98" s="17">
        <v>50</v>
      </c>
      <c r="G98" s="356">
        <v>5</v>
      </c>
      <c r="H98" s="356">
        <v>50</v>
      </c>
      <c r="I98" s="17">
        <v>4.5</v>
      </c>
      <c r="J98" s="17">
        <v>21.824999999999999</v>
      </c>
      <c r="K98" s="346">
        <v>0</v>
      </c>
      <c r="L98" s="346">
        <v>0</v>
      </c>
      <c r="M98" s="346">
        <v>0.48500000000000004</v>
      </c>
      <c r="N98" s="346">
        <v>1</v>
      </c>
      <c r="O98" s="346">
        <v>0.51500000000000012</v>
      </c>
      <c r="P98" s="346">
        <v>0</v>
      </c>
      <c r="Q98" s="346">
        <v>1</v>
      </c>
      <c r="R98" s="346">
        <v>1</v>
      </c>
    </row>
    <row r="99" spans="2:18">
      <c r="B99" s="10" t="s">
        <v>2143</v>
      </c>
      <c r="C99" s="10">
        <v>2</v>
      </c>
      <c r="D99" s="10" t="s">
        <v>50</v>
      </c>
      <c r="E99" s="17">
        <v>5</v>
      </c>
      <c r="F99" s="17">
        <v>200</v>
      </c>
      <c r="G99" s="356">
        <v>5</v>
      </c>
      <c r="H99" s="356">
        <v>200</v>
      </c>
      <c r="I99" s="17">
        <v>1</v>
      </c>
      <c r="J99" s="17">
        <v>26.398500000000009</v>
      </c>
      <c r="K99" s="346">
        <v>0</v>
      </c>
      <c r="L99" s="346">
        <v>0</v>
      </c>
      <c r="M99" s="346">
        <v>0.48499999999999999</v>
      </c>
      <c r="N99" s="346">
        <v>0.21410307403829756</v>
      </c>
      <c r="O99" s="346">
        <v>0.51500000000000001</v>
      </c>
      <c r="P99" s="346">
        <v>0.78589692596170224</v>
      </c>
      <c r="Q99" s="346">
        <v>1</v>
      </c>
      <c r="R99" s="346">
        <v>1</v>
      </c>
    </row>
    <row r="100" spans="2:18">
      <c r="B100" s="10" t="s">
        <v>236</v>
      </c>
      <c r="C100" s="10">
        <v>2</v>
      </c>
      <c r="D100" s="10" t="s">
        <v>50</v>
      </c>
      <c r="E100" s="17">
        <v>40</v>
      </c>
      <c r="F100" s="17">
        <v>1500</v>
      </c>
      <c r="G100" s="356">
        <v>40</v>
      </c>
      <c r="H100" s="356">
        <v>1500</v>
      </c>
      <c r="I100" s="17">
        <v>36</v>
      </c>
      <c r="J100" s="17">
        <v>1275.81</v>
      </c>
      <c r="K100" s="346">
        <v>0</v>
      </c>
      <c r="L100" s="346">
        <v>1.8788064053424886E-2</v>
      </c>
      <c r="M100" s="346">
        <v>0.48500000000000004</v>
      </c>
      <c r="N100" s="346">
        <v>0.24378630046793801</v>
      </c>
      <c r="O100" s="346">
        <v>0.51500000000000012</v>
      </c>
      <c r="P100" s="346">
        <v>0.73742563547863704</v>
      </c>
      <c r="Q100" s="346">
        <v>1</v>
      </c>
      <c r="R100" s="346">
        <v>1</v>
      </c>
    </row>
    <row r="101" spans="2:18">
      <c r="B101" s="10" t="s">
        <v>2148</v>
      </c>
      <c r="C101" s="10">
        <v>2</v>
      </c>
      <c r="D101" s="10" t="s">
        <v>50</v>
      </c>
      <c r="E101" s="17">
        <v>30</v>
      </c>
      <c r="F101" s="17">
        <v>1000</v>
      </c>
      <c r="G101" s="356">
        <v>30</v>
      </c>
      <c r="H101" s="356">
        <v>1000</v>
      </c>
      <c r="I101" s="17">
        <v>27</v>
      </c>
      <c r="J101" s="17">
        <v>60.404399999999995</v>
      </c>
      <c r="K101" s="346">
        <v>0</v>
      </c>
      <c r="L101" s="346">
        <v>0</v>
      </c>
      <c r="M101" s="346">
        <v>0.48499999999999993</v>
      </c>
      <c r="N101" s="346">
        <v>1</v>
      </c>
      <c r="O101" s="346">
        <v>0.51500000000000001</v>
      </c>
      <c r="P101" s="346">
        <v>0</v>
      </c>
      <c r="Q101" s="346">
        <v>1</v>
      </c>
      <c r="R101" s="346">
        <v>1</v>
      </c>
    </row>
    <row r="102" spans="2:18">
      <c r="B102" s="10" t="s">
        <v>472</v>
      </c>
      <c r="C102" s="10">
        <v>2</v>
      </c>
      <c r="D102" s="10" t="s">
        <v>50</v>
      </c>
      <c r="E102" s="17">
        <v>450</v>
      </c>
      <c r="F102" s="17">
        <v>18500</v>
      </c>
      <c r="G102" s="356">
        <v>450</v>
      </c>
      <c r="H102" s="356">
        <v>18500</v>
      </c>
      <c r="I102" s="17">
        <v>397.14600000000002</v>
      </c>
      <c r="J102" s="17">
        <v>3543.9460000000004</v>
      </c>
      <c r="K102" s="346">
        <v>6.9216358719463356E-2</v>
      </c>
      <c r="L102" s="346">
        <v>0</v>
      </c>
      <c r="M102" s="346">
        <v>0.13068997295704854</v>
      </c>
      <c r="N102" s="346">
        <v>0.17581588432780859</v>
      </c>
      <c r="O102" s="346">
        <v>0.80009366832348816</v>
      </c>
      <c r="P102" s="346">
        <v>0.82418411567219141</v>
      </c>
      <c r="Q102" s="346">
        <v>1</v>
      </c>
      <c r="R102" s="346">
        <v>1</v>
      </c>
    </row>
    <row r="103" spans="2:18">
      <c r="B103" s="10" t="s">
        <v>2152</v>
      </c>
      <c r="C103" s="10">
        <v>2</v>
      </c>
      <c r="D103" s="10" t="s">
        <v>50</v>
      </c>
      <c r="E103" s="17">
        <v>50</v>
      </c>
      <c r="F103" s="17">
        <v>800</v>
      </c>
      <c r="G103" s="356">
        <v>50</v>
      </c>
      <c r="H103" s="356">
        <v>800</v>
      </c>
      <c r="I103" s="17">
        <v>45</v>
      </c>
      <c r="J103" s="17">
        <v>452.76000000000005</v>
      </c>
      <c r="K103" s="346">
        <v>0</v>
      </c>
      <c r="L103" s="346">
        <v>1.8685396236416643E-2</v>
      </c>
      <c r="M103" s="346">
        <v>0.48499999999999999</v>
      </c>
      <c r="N103" s="346">
        <v>3.4720381659157161E-2</v>
      </c>
      <c r="O103" s="346">
        <v>0.51500000000000001</v>
      </c>
      <c r="P103" s="346">
        <v>0.94659422210442623</v>
      </c>
      <c r="Q103" s="346">
        <v>1</v>
      </c>
      <c r="R103" s="346">
        <v>1</v>
      </c>
    </row>
    <row r="104" spans="2:18">
      <c r="B104" s="10" t="s">
        <v>2154</v>
      </c>
      <c r="C104" s="10">
        <v>2</v>
      </c>
      <c r="D104" s="10" t="s">
        <v>50</v>
      </c>
      <c r="E104" s="17">
        <v>15</v>
      </c>
      <c r="F104" s="17">
        <v>400</v>
      </c>
      <c r="G104" s="356">
        <v>15</v>
      </c>
      <c r="H104" s="356">
        <v>400</v>
      </c>
      <c r="I104" s="17">
        <v>10.5</v>
      </c>
      <c r="J104" s="17">
        <v>0</v>
      </c>
      <c r="K104" s="346">
        <v>0</v>
      </c>
      <c r="L104" s="346">
        <v>0</v>
      </c>
      <c r="M104" s="346">
        <v>0.48499999999999993</v>
      </c>
      <c r="N104" s="346">
        <v>0</v>
      </c>
      <c r="O104" s="346">
        <v>0.51500000000000001</v>
      </c>
      <c r="P104" s="346">
        <v>0</v>
      </c>
      <c r="Q104" s="346">
        <v>1</v>
      </c>
      <c r="R104" s="346">
        <v>1</v>
      </c>
    </row>
    <row r="105" spans="2:18">
      <c r="B105" s="10" t="s">
        <v>2156</v>
      </c>
      <c r="C105" s="10">
        <v>2</v>
      </c>
      <c r="D105" s="10" t="s">
        <v>50</v>
      </c>
      <c r="E105" s="17">
        <v>35</v>
      </c>
      <c r="F105" s="17">
        <v>600</v>
      </c>
      <c r="G105" s="356">
        <v>35</v>
      </c>
      <c r="H105" s="356">
        <v>600</v>
      </c>
      <c r="I105" s="17">
        <v>24.5</v>
      </c>
      <c r="J105" s="17">
        <v>35.369999999999997</v>
      </c>
      <c r="K105" s="346">
        <v>0</v>
      </c>
      <c r="L105" s="346">
        <v>0</v>
      </c>
      <c r="M105" s="346">
        <v>0.48499999999999993</v>
      </c>
      <c r="N105" s="346">
        <v>1</v>
      </c>
      <c r="O105" s="346">
        <v>0.51500000000000001</v>
      </c>
      <c r="P105" s="346">
        <v>0</v>
      </c>
      <c r="Q105" s="346">
        <v>1</v>
      </c>
      <c r="R105" s="346">
        <v>1</v>
      </c>
    </row>
    <row r="106" spans="2:18">
      <c r="B106" s="10" t="s">
        <v>2157</v>
      </c>
      <c r="C106" s="10">
        <v>2</v>
      </c>
      <c r="D106" s="10" t="s">
        <v>50</v>
      </c>
      <c r="E106" s="17">
        <v>15</v>
      </c>
      <c r="F106" s="17">
        <v>450</v>
      </c>
      <c r="G106" s="356">
        <v>15</v>
      </c>
      <c r="H106" s="356">
        <v>450</v>
      </c>
      <c r="I106" s="17">
        <v>13.5</v>
      </c>
      <c r="J106" s="17">
        <v>337.98900000000003</v>
      </c>
      <c r="K106" s="346">
        <v>0</v>
      </c>
      <c r="L106" s="346">
        <v>1.9420750379450218E-2</v>
      </c>
      <c r="M106" s="346">
        <v>0.48499999999999993</v>
      </c>
      <c r="N106" s="346">
        <v>0.34318276630304528</v>
      </c>
      <c r="O106" s="346">
        <v>0.51500000000000001</v>
      </c>
      <c r="P106" s="346">
        <v>0.63739648331750443</v>
      </c>
      <c r="Q106" s="346">
        <v>1</v>
      </c>
      <c r="R106" s="346">
        <v>1</v>
      </c>
    </row>
    <row r="107" spans="2:18">
      <c r="B107" s="10" t="s">
        <v>264</v>
      </c>
      <c r="C107" s="10">
        <v>2</v>
      </c>
      <c r="D107" s="10" t="s">
        <v>50</v>
      </c>
      <c r="E107" s="17">
        <v>80</v>
      </c>
      <c r="F107" s="17">
        <v>3000</v>
      </c>
      <c r="G107" s="356">
        <v>80</v>
      </c>
      <c r="H107" s="356">
        <v>3000</v>
      </c>
      <c r="I107" s="17">
        <v>72</v>
      </c>
      <c r="J107" s="17">
        <v>2377.71</v>
      </c>
      <c r="K107" s="346">
        <v>0</v>
      </c>
      <c r="L107" s="346">
        <v>0</v>
      </c>
      <c r="M107" s="346">
        <v>0.48500000000000004</v>
      </c>
      <c r="N107" s="346">
        <v>0.18446951057950717</v>
      </c>
      <c r="O107" s="346">
        <v>0.51500000000000012</v>
      </c>
      <c r="P107" s="346">
        <v>0.81553048942049289</v>
      </c>
      <c r="Q107" s="346">
        <v>1</v>
      </c>
      <c r="R107" s="346">
        <v>1</v>
      </c>
    </row>
    <row r="108" spans="2:18">
      <c r="B108" s="10" t="s">
        <v>2158</v>
      </c>
      <c r="C108" s="10">
        <v>2</v>
      </c>
      <c r="D108" s="10" t="s">
        <v>50</v>
      </c>
      <c r="E108" s="17">
        <v>250</v>
      </c>
      <c r="F108" s="17">
        <v>19000</v>
      </c>
      <c r="G108" s="356">
        <v>250</v>
      </c>
      <c r="H108" s="356">
        <v>19000</v>
      </c>
      <c r="I108" s="17">
        <v>225</v>
      </c>
      <c r="J108" s="17">
        <v>14184</v>
      </c>
      <c r="K108" s="346">
        <v>0</v>
      </c>
      <c r="L108" s="346">
        <v>0.16418147208121828</v>
      </c>
      <c r="M108" s="346">
        <v>0.48499999999999999</v>
      </c>
      <c r="N108" s="346">
        <v>2.5697969543147209E-2</v>
      </c>
      <c r="O108" s="346">
        <v>0.51500000000000001</v>
      </c>
      <c r="P108" s="346">
        <v>0.81012055837563457</v>
      </c>
      <c r="Q108" s="346">
        <v>1</v>
      </c>
      <c r="R108" s="346">
        <v>1</v>
      </c>
    </row>
    <row r="109" spans="2:18">
      <c r="B109" s="10" t="s">
        <v>2160</v>
      </c>
      <c r="C109" s="10">
        <v>2</v>
      </c>
      <c r="D109" s="10" t="s">
        <v>50</v>
      </c>
      <c r="E109" s="17">
        <v>180</v>
      </c>
      <c r="F109" s="17">
        <v>8000</v>
      </c>
      <c r="G109" s="356">
        <v>180</v>
      </c>
      <c r="H109" s="356">
        <v>8000</v>
      </c>
      <c r="I109" s="17">
        <v>162</v>
      </c>
      <c r="J109" s="17">
        <v>5882.5850000000009</v>
      </c>
      <c r="K109" s="346">
        <v>0</v>
      </c>
      <c r="L109" s="346">
        <v>5.9881837661504241E-2</v>
      </c>
      <c r="M109" s="346">
        <v>0.48499999999999993</v>
      </c>
      <c r="N109" s="346">
        <v>1.3173630300284652E-2</v>
      </c>
      <c r="O109" s="346">
        <v>0.51500000000000001</v>
      </c>
      <c r="P109" s="346">
        <v>0.92694453203821103</v>
      </c>
      <c r="Q109" s="346">
        <v>1</v>
      </c>
      <c r="R109" s="346">
        <v>1</v>
      </c>
    </row>
    <row r="110" spans="2:18">
      <c r="B110" s="10" t="s">
        <v>477</v>
      </c>
      <c r="C110" s="10">
        <v>2</v>
      </c>
      <c r="D110" s="10" t="s">
        <v>50</v>
      </c>
      <c r="E110" s="17">
        <v>200</v>
      </c>
      <c r="F110" s="17">
        <v>14000</v>
      </c>
      <c r="G110" s="356">
        <v>200</v>
      </c>
      <c r="H110" s="356">
        <v>14000</v>
      </c>
      <c r="I110" s="17">
        <v>180</v>
      </c>
      <c r="J110" s="17">
        <v>9332.7799999999988</v>
      </c>
      <c r="K110" s="346">
        <v>0</v>
      </c>
      <c r="L110" s="346">
        <v>0</v>
      </c>
      <c r="M110" s="346">
        <v>0.48499999999999999</v>
      </c>
      <c r="N110" s="346">
        <v>0.19331217493608555</v>
      </c>
      <c r="O110" s="346">
        <v>0.51500000000000001</v>
      </c>
      <c r="P110" s="346">
        <v>0.80668782506391457</v>
      </c>
      <c r="Q110" s="346">
        <v>1</v>
      </c>
      <c r="R110" s="346">
        <v>1</v>
      </c>
    </row>
    <row r="111" spans="2:18">
      <c r="B111" s="10" t="s">
        <v>2162</v>
      </c>
      <c r="C111" s="10">
        <v>2</v>
      </c>
      <c r="D111" s="10" t="s">
        <v>50</v>
      </c>
      <c r="E111" s="17">
        <v>4</v>
      </c>
      <c r="F111" s="17">
        <v>40</v>
      </c>
      <c r="G111" s="356">
        <v>4</v>
      </c>
      <c r="H111" s="356">
        <v>40</v>
      </c>
      <c r="I111" s="17">
        <v>2.8239999999999998</v>
      </c>
      <c r="J111" s="17">
        <v>0.93320000000000014</v>
      </c>
      <c r="K111" s="346">
        <v>0</v>
      </c>
      <c r="L111" s="346">
        <v>0</v>
      </c>
      <c r="M111" s="346">
        <v>0.34348441926345608</v>
      </c>
      <c r="N111" s="346">
        <v>1</v>
      </c>
      <c r="O111" s="346">
        <v>0.65651558073654392</v>
      </c>
      <c r="P111" s="346">
        <v>0</v>
      </c>
      <c r="Q111" s="346">
        <v>1</v>
      </c>
      <c r="R111" s="346">
        <v>1</v>
      </c>
    </row>
    <row r="112" spans="2:18">
      <c r="B112" s="10" t="s">
        <v>2163</v>
      </c>
      <c r="C112" s="10">
        <v>2</v>
      </c>
      <c r="D112" s="10" t="s">
        <v>50</v>
      </c>
      <c r="E112" s="17">
        <v>20</v>
      </c>
      <c r="F112" s="17">
        <v>240</v>
      </c>
      <c r="G112" s="356">
        <v>20</v>
      </c>
      <c r="H112" s="356">
        <v>240</v>
      </c>
      <c r="I112" s="17">
        <v>18</v>
      </c>
      <c r="J112" s="17">
        <v>2.3279999999999998</v>
      </c>
      <c r="K112" s="346">
        <v>0</v>
      </c>
      <c r="L112" s="346">
        <v>0</v>
      </c>
      <c r="M112" s="346">
        <v>0.48500000000000004</v>
      </c>
      <c r="N112" s="346">
        <v>1</v>
      </c>
      <c r="O112" s="346">
        <v>0.51500000000000012</v>
      </c>
      <c r="P112" s="346">
        <v>0</v>
      </c>
      <c r="Q112" s="346">
        <v>1</v>
      </c>
      <c r="R112" s="346">
        <v>1</v>
      </c>
    </row>
    <row r="113" spans="2:18">
      <c r="B113" s="10" t="s">
        <v>1943</v>
      </c>
      <c r="C113" s="10">
        <v>2</v>
      </c>
      <c r="D113" s="10" t="s">
        <v>50</v>
      </c>
      <c r="E113" s="17">
        <v>70</v>
      </c>
      <c r="F113" s="17">
        <v>500</v>
      </c>
      <c r="G113" s="356">
        <v>70</v>
      </c>
      <c r="H113" s="356">
        <v>500</v>
      </c>
      <c r="I113" s="17">
        <v>62.153999999999996</v>
      </c>
      <c r="J113" s="17">
        <v>324.375</v>
      </c>
      <c r="K113" s="346">
        <v>0</v>
      </c>
      <c r="L113" s="346">
        <v>1.521387283236994E-2</v>
      </c>
      <c r="M113" s="346">
        <v>0.38502751230813786</v>
      </c>
      <c r="N113" s="346">
        <v>0.23096724470134875</v>
      </c>
      <c r="O113" s="346">
        <v>0.61497248769186219</v>
      </c>
      <c r="P113" s="346">
        <v>0.75381888246628126</v>
      </c>
      <c r="Q113" s="346">
        <v>1</v>
      </c>
      <c r="R113" s="346">
        <v>1</v>
      </c>
    </row>
    <row r="114" spans="2:18">
      <c r="B114" s="10" t="s">
        <v>202</v>
      </c>
      <c r="C114" s="10">
        <v>7</v>
      </c>
      <c r="D114" s="10" t="s">
        <v>36</v>
      </c>
      <c r="E114" s="17">
        <v>800000</v>
      </c>
      <c r="F114" s="17">
        <v>2500000</v>
      </c>
      <c r="G114" s="17">
        <v>800000</v>
      </c>
      <c r="H114" s="17">
        <v>2500000</v>
      </c>
      <c r="I114" s="17">
        <v>80000</v>
      </c>
      <c r="J114" s="17">
        <v>75000</v>
      </c>
      <c r="K114" s="346">
        <v>0.52349999999999997</v>
      </c>
      <c r="L114" s="346">
        <v>0.50444</v>
      </c>
      <c r="M114" s="346">
        <v>5.8500000000000003E-2</v>
      </c>
      <c r="N114" s="346">
        <v>6.0839999999999998E-2</v>
      </c>
      <c r="O114" s="346">
        <v>0.41799999999999998</v>
      </c>
      <c r="P114" s="346">
        <v>0.43472</v>
      </c>
      <c r="Q114" s="346">
        <v>1</v>
      </c>
      <c r="R114" s="346">
        <v>1</v>
      </c>
    </row>
    <row r="115" spans="2:18">
      <c r="B115" s="10" t="s">
        <v>56</v>
      </c>
      <c r="C115" s="10">
        <v>2</v>
      </c>
      <c r="D115" s="10" t="s">
        <v>36</v>
      </c>
      <c r="E115" s="17">
        <v>400</v>
      </c>
      <c r="F115" s="17">
        <v>14000</v>
      </c>
      <c r="G115" s="17">
        <v>400</v>
      </c>
      <c r="H115" s="17">
        <v>14000</v>
      </c>
      <c r="I115" s="17">
        <v>360</v>
      </c>
      <c r="J115" s="17">
        <v>402.23599999999999</v>
      </c>
      <c r="K115" s="346">
        <v>0</v>
      </c>
      <c r="L115" s="346">
        <v>0</v>
      </c>
      <c r="M115" s="346">
        <v>0.48499999999999999</v>
      </c>
      <c r="N115" s="346">
        <v>0.53297069382153772</v>
      </c>
      <c r="O115" s="346">
        <v>0.51500000000000001</v>
      </c>
      <c r="P115" s="346">
        <v>0.46702930617846239</v>
      </c>
      <c r="Q115" s="346">
        <v>1</v>
      </c>
      <c r="R115" s="346">
        <v>1</v>
      </c>
    </row>
    <row r="116" spans="2:18">
      <c r="B116" s="10" t="s">
        <v>223</v>
      </c>
      <c r="C116" s="10">
        <v>2</v>
      </c>
      <c r="D116" s="10" t="s">
        <v>36</v>
      </c>
      <c r="E116" s="17">
        <v>200</v>
      </c>
      <c r="F116" s="17">
        <v>11200</v>
      </c>
      <c r="G116" s="17">
        <v>200</v>
      </c>
      <c r="H116" s="17">
        <v>11200</v>
      </c>
      <c r="I116" s="17">
        <v>179.154</v>
      </c>
      <c r="J116" s="17">
        <v>8202.6575000000012</v>
      </c>
      <c r="K116" s="346">
        <v>0</v>
      </c>
      <c r="L116" s="346">
        <v>2.8871740652343459E-3</v>
      </c>
      <c r="M116" s="346">
        <v>0.45031648749120873</v>
      </c>
      <c r="N116" s="346">
        <v>8.9894037389711801E-2</v>
      </c>
      <c r="O116" s="346">
        <v>0.54968351250879133</v>
      </c>
      <c r="P116" s="346">
        <v>0.90721878854505378</v>
      </c>
      <c r="Q116" s="346">
        <v>1</v>
      </c>
      <c r="R116" s="346">
        <v>1</v>
      </c>
    </row>
    <row r="117" spans="2:18">
      <c r="B117" s="10" t="s">
        <v>2123</v>
      </c>
      <c r="C117" s="10">
        <v>3</v>
      </c>
      <c r="D117" s="10" t="s">
        <v>36</v>
      </c>
      <c r="E117" s="17">
        <v>2</v>
      </c>
      <c r="F117" s="17">
        <v>30</v>
      </c>
      <c r="G117" s="356">
        <v>2</v>
      </c>
      <c r="H117" s="356">
        <v>30</v>
      </c>
      <c r="I117" s="17">
        <v>1</v>
      </c>
      <c r="J117" s="17">
        <v>10.2005</v>
      </c>
      <c r="K117" s="346">
        <v>0</v>
      </c>
      <c r="L117" s="346">
        <v>0</v>
      </c>
      <c r="M117" s="346">
        <v>0.48499999999999999</v>
      </c>
      <c r="N117" s="346">
        <v>0.49840694083623355</v>
      </c>
      <c r="O117" s="346">
        <v>0.51500000000000001</v>
      </c>
      <c r="P117" s="346">
        <v>0.5015930591637664</v>
      </c>
      <c r="Q117" s="346">
        <v>1</v>
      </c>
      <c r="R117" s="346">
        <v>1</v>
      </c>
    </row>
    <row r="118" spans="2:18">
      <c r="B118" s="10" t="s">
        <v>55</v>
      </c>
      <c r="C118" s="10">
        <v>2</v>
      </c>
      <c r="D118" s="10" t="s">
        <v>51</v>
      </c>
      <c r="E118" s="17">
        <v>65</v>
      </c>
      <c r="F118" s="17">
        <v>1750</v>
      </c>
      <c r="G118" s="17">
        <v>65</v>
      </c>
      <c r="H118" s="17">
        <v>1750</v>
      </c>
      <c r="I118" s="17">
        <v>39</v>
      </c>
      <c r="J118" s="17">
        <v>700.75299999999993</v>
      </c>
      <c r="K118" s="346">
        <v>0</v>
      </c>
      <c r="L118" s="346">
        <v>0</v>
      </c>
      <c r="M118" s="346">
        <v>0.48499999999999999</v>
      </c>
      <c r="N118" s="346">
        <v>0.50908808096433411</v>
      </c>
      <c r="O118" s="346">
        <v>0.51500000000000001</v>
      </c>
      <c r="P118" s="346">
        <v>0.49091191903566594</v>
      </c>
      <c r="Q118" s="346">
        <v>1</v>
      </c>
      <c r="R118" s="346">
        <v>1</v>
      </c>
    </row>
    <row r="119" spans="2:18">
      <c r="B119" s="10" t="s">
        <v>2117</v>
      </c>
      <c r="C119" s="10">
        <v>2</v>
      </c>
      <c r="D119" s="10" t="s">
        <v>51</v>
      </c>
      <c r="E119" s="17">
        <v>55</v>
      </c>
      <c r="F119" s="17">
        <v>2200</v>
      </c>
      <c r="G119" s="17">
        <v>55</v>
      </c>
      <c r="H119" s="17">
        <v>2200</v>
      </c>
      <c r="I119" s="17">
        <v>14.1625</v>
      </c>
      <c r="J119" s="17">
        <v>636.67999999999995</v>
      </c>
      <c r="K119" s="346">
        <v>0</v>
      </c>
      <c r="L119" s="346">
        <v>1.5604385248476474E-2</v>
      </c>
      <c r="M119" s="346">
        <v>0</v>
      </c>
      <c r="N119" s="346">
        <v>1.9295407426022496E-2</v>
      </c>
      <c r="O119" s="346">
        <v>1</v>
      </c>
      <c r="P119" s="346">
        <v>0.96510020732550095</v>
      </c>
      <c r="Q119" s="346">
        <v>1</v>
      </c>
      <c r="R119" s="346">
        <v>1</v>
      </c>
    </row>
    <row r="120" spans="2:18">
      <c r="B120" s="10" t="s">
        <v>208</v>
      </c>
      <c r="C120" s="10">
        <v>4</v>
      </c>
      <c r="D120" s="10" t="s">
        <v>51</v>
      </c>
      <c r="E120" s="17">
        <v>500000</v>
      </c>
      <c r="F120" s="17">
        <v>5500000</v>
      </c>
      <c r="G120" s="17">
        <v>500000</v>
      </c>
      <c r="H120" s="17">
        <v>5500000</v>
      </c>
      <c r="I120" s="17">
        <v>50000</v>
      </c>
      <c r="J120" s="17">
        <v>275000</v>
      </c>
      <c r="K120" s="346">
        <v>0.80893000000000004</v>
      </c>
      <c r="L120" s="346">
        <v>0.91319272727272727</v>
      </c>
      <c r="M120" s="346">
        <v>2.708E-2</v>
      </c>
      <c r="N120" s="346">
        <v>1.1974545454545455E-2</v>
      </c>
      <c r="O120" s="346">
        <v>0.16399</v>
      </c>
      <c r="P120" s="346">
        <v>7.4832727272727273E-2</v>
      </c>
      <c r="Q120" s="346">
        <v>1</v>
      </c>
      <c r="R120" s="346">
        <v>1</v>
      </c>
    </row>
    <row r="121" spans="2:18">
      <c r="B121" s="10" t="s">
        <v>464</v>
      </c>
      <c r="C121" s="10">
        <v>2</v>
      </c>
      <c r="D121" s="10" t="s">
        <v>51</v>
      </c>
      <c r="E121" s="17">
        <v>45</v>
      </c>
      <c r="F121" s="17">
        <v>500</v>
      </c>
      <c r="G121" s="17">
        <v>45</v>
      </c>
      <c r="H121" s="17">
        <v>500</v>
      </c>
      <c r="I121" s="17">
        <v>32.49</v>
      </c>
      <c r="J121" s="17">
        <v>137.13</v>
      </c>
      <c r="K121" s="346">
        <v>0.16940597106802094</v>
      </c>
      <c r="L121" s="346">
        <v>0.17650404725443011</v>
      </c>
      <c r="M121" s="346">
        <v>7.2022160664819953E-3</v>
      </c>
      <c r="N121" s="346">
        <v>1.8770509735287686E-2</v>
      </c>
      <c r="O121" s="346">
        <v>0.82339181286549701</v>
      </c>
      <c r="P121" s="346">
        <v>0.80472544301028215</v>
      </c>
      <c r="Q121" s="346">
        <v>1</v>
      </c>
      <c r="R121" s="346">
        <v>1</v>
      </c>
    </row>
    <row r="122" spans="2:18">
      <c r="B122" s="10" t="s">
        <v>214</v>
      </c>
      <c r="C122" s="10">
        <v>3</v>
      </c>
      <c r="D122" s="10" t="s">
        <v>51</v>
      </c>
      <c r="E122" s="17">
        <v>6800</v>
      </c>
      <c r="F122" s="17">
        <v>16400</v>
      </c>
      <c r="G122" s="17">
        <v>6800</v>
      </c>
      <c r="H122" s="17">
        <v>16400</v>
      </c>
      <c r="I122" s="17">
        <v>6120</v>
      </c>
      <c r="J122" s="17">
        <v>8200</v>
      </c>
      <c r="K122" s="346">
        <v>1</v>
      </c>
      <c r="L122" s="346">
        <v>1</v>
      </c>
      <c r="M122" s="346">
        <v>0</v>
      </c>
      <c r="N122" s="346">
        <v>0</v>
      </c>
      <c r="O122" s="346">
        <v>0</v>
      </c>
      <c r="P122" s="346">
        <v>0</v>
      </c>
      <c r="Q122" s="346">
        <v>1</v>
      </c>
      <c r="R122" s="346">
        <v>1</v>
      </c>
    </row>
    <row r="123" spans="2:18">
      <c r="B123" s="10" t="s">
        <v>614</v>
      </c>
      <c r="C123" s="10">
        <v>2</v>
      </c>
      <c r="D123" s="10" t="s">
        <v>51</v>
      </c>
      <c r="E123" s="17">
        <v>120</v>
      </c>
      <c r="F123" s="17">
        <v>5000</v>
      </c>
      <c r="G123" s="17">
        <v>120</v>
      </c>
      <c r="H123" s="17">
        <v>5000</v>
      </c>
      <c r="I123" s="17">
        <v>34.919999999999995</v>
      </c>
      <c r="J123" s="17">
        <v>1405.4179999999999</v>
      </c>
      <c r="K123" s="346">
        <v>0</v>
      </c>
      <c r="L123" s="346">
        <v>0</v>
      </c>
      <c r="M123" s="346">
        <v>1</v>
      </c>
      <c r="N123" s="346">
        <v>4.5095480490501764E-2</v>
      </c>
      <c r="O123" s="346">
        <v>0</v>
      </c>
      <c r="P123" s="346">
        <v>0.95490451950949828</v>
      </c>
      <c r="Q123" s="346">
        <v>1</v>
      </c>
      <c r="R123" s="346">
        <v>1</v>
      </c>
    </row>
    <row r="124" spans="2:18">
      <c r="B124" s="10" t="s">
        <v>2129</v>
      </c>
      <c r="C124" s="10">
        <v>2</v>
      </c>
      <c r="D124" s="10" t="s">
        <v>51</v>
      </c>
      <c r="E124" s="17">
        <v>28.799999999999997</v>
      </c>
      <c r="F124" s="17">
        <v>720</v>
      </c>
      <c r="G124" s="17">
        <v>28.799999999999997</v>
      </c>
      <c r="H124" s="17">
        <v>720</v>
      </c>
      <c r="I124" s="17">
        <v>25.919999999999998</v>
      </c>
      <c r="J124" s="17">
        <v>137.529</v>
      </c>
      <c r="K124" s="346">
        <v>0</v>
      </c>
      <c r="L124" s="346">
        <v>0</v>
      </c>
      <c r="M124" s="346">
        <v>0.48499999999999999</v>
      </c>
      <c r="N124" s="346">
        <v>1</v>
      </c>
      <c r="O124" s="346">
        <v>0.51500000000000001</v>
      </c>
      <c r="P124" s="346">
        <v>0</v>
      </c>
      <c r="Q124" s="346">
        <v>1</v>
      </c>
      <c r="R124" s="346">
        <v>1</v>
      </c>
    </row>
    <row r="125" spans="2:18">
      <c r="B125" s="10" t="s">
        <v>2137</v>
      </c>
      <c r="C125" s="10">
        <v>2</v>
      </c>
      <c r="D125" s="10" t="s">
        <v>51</v>
      </c>
      <c r="E125" s="17">
        <v>38.4</v>
      </c>
      <c r="F125" s="17">
        <v>960</v>
      </c>
      <c r="G125" s="17">
        <v>38.4</v>
      </c>
      <c r="H125" s="17">
        <v>960</v>
      </c>
      <c r="I125" s="17">
        <v>34.56</v>
      </c>
      <c r="J125" s="17">
        <v>183.35249999999999</v>
      </c>
      <c r="K125" s="346">
        <v>0</v>
      </c>
      <c r="L125" s="346">
        <v>0</v>
      </c>
      <c r="M125" s="346">
        <v>0.48499999999999993</v>
      </c>
      <c r="N125" s="346">
        <v>1</v>
      </c>
      <c r="O125" s="346">
        <v>0.51500000000000001</v>
      </c>
      <c r="P125" s="346">
        <v>0</v>
      </c>
      <c r="Q125" s="346">
        <v>1</v>
      </c>
      <c r="R125" s="346">
        <v>1</v>
      </c>
    </row>
    <row r="126" spans="2:18">
      <c r="B126" s="10" t="s">
        <v>2140</v>
      </c>
      <c r="C126" s="10">
        <v>2</v>
      </c>
      <c r="D126" s="10" t="s">
        <v>51</v>
      </c>
      <c r="E126" s="17">
        <v>8.4</v>
      </c>
      <c r="F126" s="17">
        <v>210.00000000000003</v>
      </c>
      <c r="G126" s="17">
        <v>8.4</v>
      </c>
      <c r="H126" s="17">
        <v>210.00000000000003</v>
      </c>
      <c r="I126" s="17">
        <v>7.5600000000000005</v>
      </c>
      <c r="J126" s="17">
        <v>28.082250000000002</v>
      </c>
      <c r="K126" s="346">
        <v>0</v>
      </c>
      <c r="L126" s="346">
        <v>0</v>
      </c>
      <c r="M126" s="346">
        <v>0.48499999999999993</v>
      </c>
      <c r="N126" s="346">
        <v>1</v>
      </c>
      <c r="O126" s="346">
        <v>0.51500000000000001</v>
      </c>
      <c r="P126" s="346">
        <v>0</v>
      </c>
      <c r="Q126" s="346">
        <v>1</v>
      </c>
      <c r="R126" s="346">
        <v>1</v>
      </c>
    </row>
    <row r="127" spans="2:18">
      <c r="B127" s="10" t="s">
        <v>2144</v>
      </c>
      <c r="C127" s="10">
        <v>2</v>
      </c>
      <c r="D127" s="10" t="s">
        <v>51</v>
      </c>
      <c r="E127" s="17">
        <v>7.1999999999999993</v>
      </c>
      <c r="F127" s="17">
        <v>180</v>
      </c>
      <c r="G127" s="17">
        <v>7.1999999999999993</v>
      </c>
      <c r="H127" s="17">
        <v>180</v>
      </c>
      <c r="I127" s="17">
        <v>6.4799999999999995</v>
      </c>
      <c r="J127" s="17">
        <v>132.04259999999999</v>
      </c>
      <c r="K127" s="346">
        <v>0</v>
      </c>
      <c r="L127" s="346">
        <v>0</v>
      </c>
      <c r="M127" s="346">
        <v>0.48499999999999999</v>
      </c>
      <c r="N127" s="346">
        <v>0.26016603732431803</v>
      </c>
      <c r="O127" s="346">
        <v>0.51500000000000001</v>
      </c>
      <c r="P127" s="346">
        <v>0.73983396267568202</v>
      </c>
      <c r="Q127" s="346">
        <v>1</v>
      </c>
      <c r="R127" s="346">
        <v>1</v>
      </c>
    </row>
    <row r="128" spans="2:18">
      <c r="B128" s="10" t="s">
        <v>2146</v>
      </c>
      <c r="C128" s="10">
        <v>2</v>
      </c>
      <c r="D128" s="10" t="s">
        <v>51</v>
      </c>
      <c r="E128" s="17">
        <v>50</v>
      </c>
      <c r="F128" s="17">
        <v>750</v>
      </c>
      <c r="G128" s="17">
        <v>50</v>
      </c>
      <c r="H128" s="17">
        <v>750</v>
      </c>
      <c r="I128" s="17">
        <v>35</v>
      </c>
      <c r="J128" s="17">
        <v>49.368000000000002</v>
      </c>
      <c r="K128" s="346">
        <v>0</v>
      </c>
      <c r="L128" s="346">
        <v>0</v>
      </c>
      <c r="M128" s="346">
        <v>0.48499999999999993</v>
      </c>
      <c r="N128" s="346">
        <v>1</v>
      </c>
      <c r="O128" s="346">
        <v>0.51500000000000001</v>
      </c>
      <c r="P128" s="346">
        <v>0</v>
      </c>
      <c r="Q128" s="346">
        <v>1</v>
      </c>
      <c r="R128" s="346">
        <v>1</v>
      </c>
    </row>
    <row r="129" spans="2:18">
      <c r="B129" s="10" t="s">
        <v>2116</v>
      </c>
      <c r="C129" s="10">
        <v>2</v>
      </c>
      <c r="D129" s="10" t="s">
        <v>51</v>
      </c>
      <c r="E129" s="17">
        <v>32.5</v>
      </c>
      <c r="F129" s="17">
        <v>2500</v>
      </c>
      <c r="G129" s="17">
        <v>32.5</v>
      </c>
      <c r="H129" s="17">
        <v>2500</v>
      </c>
      <c r="I129" s="17">
        <v>24.375</v>
      </c>
      <c r="J129" s="17">
        <v>358.02</v>
      </c>
      <c r="K129" s="346">
        <v>0</v>
      </c>
      <c r="L129" s="346">
        <v>0</v>
      </c>
      <c r="M129" s="346">
        <v>0.48499999999999993</v>
      </c>
      <c r="N129" s="346">
        <v>1</v>
      </c>
      <c r="O129" s="346">
        <v>0.51500000000000001</v>
      </c>
      <c r="P129" s="346">
        <v>0</v>
      </c>
      <c r="Q129" s="346">
        <v>1</v>
      </c>
      <c r="R129" s="346">
        <v>1</v>
      </c>
    </row>
    <row r="130" spans="2:18">
      <c r="B130" s="10" t="s">
        <v>470</v>
      </c>
      <c r="C130" s="10">
        <v>4</v>
      </c>
      <c r="D130" s="10" t="s">
        <v>51</v>
      </c>
      <c r="E130" s="17">
        <v>11000</v>
      </c>
      <c r="F130" s="17">
        <v>80000</v>
      </c>
      <c r="G130" s="17">
        <v>11000</v>
      </c>
      <c r="H130" s="17">
        <v>80000</v>
      </c>
      <c r="I130" s="17">
        <v>4400</v>
      </c>
      <c r="J130" s="17">
        <v>30671</v>
      </c>
      <c r="K130" s="346">
        <v>9.0318181818181825E-2</v>
      </c>
      <c r="L130" s="346">
        <v>0.12999250105963286</v>
      </c>
      <c r="M130" s="346">
        <v>0.11168181818181819</v>
      </c>
      <c r="N130" s="346">
        <v>0.10681099409865999</v>
      </c>
      <c r="O130" s="346">
        <v>0.79800000000000004</v>
      </c>
      <c r="P130" s="346">
        <v>0.7631965048417072</v>
      </c>
      <c r="Q130" s="346">
        <v>1</v>
      </c>
      <c r="R130" s="346">
        <v>1</v>
      </c>
    </row>
    <row r="131" spans="2:18">
      <c r="B131" s="10" t="s">
        <v>2151</v>
      </c>
      <c r="C131" s="10">
        <v>6</v>
      </c>
      <c r="D131" s="10" t="s">
        <v>51</v>
      </c>
      <c r="E131" s="17">
        <v>240</v>
      </c>
      <c r="F131" s="17">
        <v>9000</v>
      </c>
      <c r="G131" s="17">
        <v>240</v>
      </c>
      <c r="H131" s="17">
        <v>9000</v>
      </c>
      <c r="I131" s="17">
        <v>58.199999999999996</v>
      </c>
      <c r="J131" s="17">
        <v>410.11199999999997</v>
      </c>
      <c r="K131" s="346">
        <v>0</v>
      </c>
      <c r="L131" s="346">
        <v>0</v>
      </c>
      <c r="M131" s="346">
        <v>1</v>
      </c>
      <c r="N131" s="346">
        <v>1</v>
      </c>
      <c r="O131" s="346">
        <v>0</v>
      </c>
      <c r="P131" s="346">
        <v>0</v>
      </c>
      <c r="Q131" s="346">
        <v>1</v>
      </c>
      <c r="R131" s="346">
        <v>1</v>
      </c>
    </row>
    <row r="132" spans="2:18">
      <c r="B132" s="10" t="s">
        <v>2153</v>
      </c>
      <c r="C132" s="10">
        <v>6</v>
      </c>
      <c r="D132" s="10" t="s">
        <v>51</v>
      </c>
      <c r="E132" s="17">
        <v>10500</v>
      </c>
      <c r="F132" s="17">
        <v>175000</v>
      </c>
      <c r="G132" s="17">
        <v>10500</v>
      </c>
      <c r="H132" s="17">
        <v>175000</v>
      </c>
      <c r="I132" s="17">
        <v>6300</v>
      </c>
      <c r="J132" s="17">
        <v>79690.350000000006</v>
      </c>
      <c r="K132" s="346">
        <v>0.49140952380952385</v>
      </c>
      <c r="L132" s="346">
        <v>0.27785170977414453</v>
      </c>
      <c r="M132" s="346">
        <v>0.13488571428571428</v>
      </c>
      <c r="N132" s="346">
        <v>0.11924467642569017</v>
      </c>
      <c r="O132" s="346">
        <v>0.37370476190476193</v>
      </c>
      <c r="P132" s="346">
        <v>0.60290361380016522</v>
      </c>
      <c r="Q132" s="346">
        <v>1</v>
      </c>
      <c r="R132" s="346">
        <v>1</v>
      </c>
    </row>
    <row r="133" spans="2:18">
      <c r="B133" s="10" t="s">
        <v>635</v>
      </c>
      <c r="C133" s="10">
        <v>2</v>
      </c>
      <c r="D133" s="10" t="s">
        <v>51</v>
      </c>
      <c r="E133" s="17">
        <v>70</v>
      </c>
      <c r="F133" s="17">
        <v>1000</v>
      </c>
      <c r="G133" s="356">
        <v>70</v>
      </c>
      <c r="H133" s="356">
        <v>1000</v>
      </c>
      <c r="I133" s="17">
        <v>63</v>
      </c>
      <c r="J133" s="17">
        <v>21.306000000000001</v>
      </c>
      <c r="K133" s="346">
        <v>0</v>
      </c>
      <c r="L133" s="346">
        <v>0</v>
      </c>
      <c r="M133" s="346">
        <v>0.48499999999999993</v>
      </c>
      <c r="N133" s="346">
        <v>1</v>
      </c>
      <c r="O133" s="346">
        <v>0.51500000000000012</v>
      </c>
      <c r="P133" s="346">
        <v>0</v>
      </c>
      <c r="Q133" s="346">
        <v>1</v>
      </c>
      <c r="R133" s="346">
        <v>1</v>
      </c>
    </row>
    <row r="134" spans="2:18">
      <c r="B134" s="10" t="s">
        <v>60</v>
      </c>
      <c r="C134" s="10">
        <v>2</v>
      </c>
      <c r="D134" s="10" t="s">
        <v>51</v>
      </c>
      <c r="E134" s="17">
        <v>100</v>
      </c>
      <c r="F134" s="17">
        <v>1700</v>
      </c>
      <c r="G134" s="356">
        <v>100</v>
      </c>
      <c r="H134" s="356">
        <v>1700</v>
      </c>
      <c r="I134" s="17">
        <v>90</v>
      </c>
      <c r="J134" s="17">
        <v>1372.5340000000001</v>
      </c>
      <c r="K134" s="346">
        <v>0</v>
      </c>
      <c r="L134" s="346">
        <v>0</v>
      </c>
      <c r="M134" s="346">
        <v>0.48499999999999999</v>
      </c>
      <c r="N134" s="346">
        <v>0.44412014565759383</v>
      </c>
      <c r="O134" s="346">
        <v>0.51500000000000001</v>
      </c>
      <c r="P134" s="346">
        <v>0.55587985434240605</v>
      </c>
      <c r="Q134" s="346">
        <v>1</v>
      </c>
      <c r="R134" s="346">
        <v>1</v>
      </c>
    </row>
    <row r="135" spans="2:18">
      <c r="B135" s="10" t="s">
        <v>642</v>
      </c>
      <c r="C135" s="10">
        <v>2</v>
      </c>
      <c r="D135" s="10" t="s">
        <v>51</v>
      </c>
      <c r="E135" s="17">
        <v>7500</v>
      </c>
      <c r="F135" s="17">
        <v>75000</v>
      </c>
      <c r="G135" s="356">
        <v>7500</v>
      </c>
      <c r="H135" s="356">
        <v>75000</v>
      </c>
      <c r="I135" s="17">
        <v>6376.9500000000007</v>
      </c>
      <c r="J135" s="17">
        <v>21216.774999999998</v>
      </c>
      <c r="K135" s="346">
        <v>5.849975301672429E-2</v>
      </c>
      <c r="L135" s="346">
        <v>8.2637441364203576E-2</v>
      </c>
      <c r="M135" s="346">
        <v>0.11558817302942628</v>
      </c>
      <c r="N135" s="346">
        <v>9.5814514694151226E-2</v>
      </c>
      <c r="O135" s="346">
        <v>0.82591207395384936</v>
      </c>
      <c r="P135" s="346">
        <v>0.82154804394164527</v>
      </c>
      <c r="Q135" s="346">
        <v>1</v>
      </c>
      <c r="R135" s="346">
        <v>1</v>
      </c>
    </row>
    <row r="136" spans="2:18">
      <c r="B136" s="10" t="s">
        <v>2159</v>
      </c>
      <c r="C136" s="10">
        <v>2</v>
      </c>
      <c r="D136" s="10" t="s">
        <v>51</v>
      </c>
      <c r="E136" s="17">
        <v>425</v>
      </c>
      <c r="F136" s="17">
        <v>5300</v>
      </c>
      <c r="G136" s="356">
        <v>425</v>
      </c>
      <c r="H136" s="356">
        <v>5300</v>
      </c>
      <c r="I136" s="17">
        <v>255</v>
      </c>
      <c r="J136" s="17">
        <v>179.77</v>
      </c>
      <c r="K136" s="346">
        <v>0</v>
      </c>
      <c r="L136" s="346">
        <v>0</v>
      </c>
      <c r="M136" s="346">
        <v>0.48499999999999999</v>
      </c>
      <c r="N136" s="346">
        <v>0.49</v>
      </c>
      <c r="O136" s="346">
        <v>0.5149999999999999</v>
      </c>
      <c r="P136" s="346">
        <v>0.52</v>
      </c>
      <c r="Q136" s="346">
        <v>1</v>
      </c>
      <c r="R136" s="346">
        <v>1</v>
      </c>
    </row>
    <row r="137" spans="2:18">
      <c r="B137" s="10" t="s">
        <v>1944</v>
      </c>
      <c r="C137" s="10">
        <v>2</v>
      </c>
      <c r="D137" s="10" t="s">
        <v>51</v>
      </c>
      <c r="E137" s="17">
        <v>5600</v>
      </c>
      <c r="F137" s="17">
        <v>66000</v>
      </c>
      <c r="G137" s="356">
        <v>5600</v>
      </c>
      <c r="H137" s="356">
        <v>66000</v>
      </c>
      <c r="I137" s="17">
        <v>4856.76</v>
      </c>
      <c r="J137" s="17">
        <v>26400</v>
      </c>
      <c r="K137" s="346">
        <v>0.13205099696093692</v>
      </c>
      <c r="L137" s="346">
        <v>0.14736363636363636</v>
      </c>
      <c r="M137" s="346">
        <v>0.12669557482766289</v>
      </c>
      <c r="N137" s="346">
        <v>0.11016666666666668</v>
      </c>
      <c r="O137" s="346">
        <v>0.74125342821140028</v>
      </c>
      <c r="P137" s="346">
        <v>0.742469696969697</v>
      </c>
      <c r="Q137" s="346">
        <v>1</v>
      </c>
      <c r="R137" s="346">
        <v>1</v>
      </c>
    </row>
    <row r="138" spans="2:18">
      <c r="B138" s="10" t="s">
        <v>1945</v>
      </c>
      <c r="C138" s="10">
        <v>2</v>
      </c>
      <c r="D138" s="10" t="s">
        <v>51</v>
      </c>
      <c r="E138" s="17">
        <v>2</v>
      </c>
      <c r="F138" s="17">
        <v>40</v>
      </c>
      <c r="G138" s="356">
        <v>2</v>
      </c>
      <c r="H138" s="356">
        <v>40</v>
      </c>
      <c r="I138" s="17">
        <v>1.8</v>
      </c>
      <c r="J138" s="17">
        <v>34.244</v>
      </c>
      <c r="K138" s="346">
        <v>0</v>
      </c>
      <c r="L138" s="346">
        <v>6.1762644550870226E-3</v>
      </c>
      <c r="M138" s="346">
        <v>0.48499999999999999</v>
      </c>
      <c r="N138" s="346">
        <v>0.41023244948020093</v>
      </c>
      <c r="O138" s="346">
        <v>0.51500000000000001</v>
      </c>
      <c r="P138" s="346">
        <v>0.58359128606471211</v>
      </c>
      <c r="Q138" s="346">
        <v>1</v>
      </c>
      <c r="R138" s="346">
        <v>1</v>
      </c>
    </row>
    <row r="139" spans="2:18">
      <c r="B139" s="10" t="s">
        <v>255</v>
      </c>
      <c r="C139" s="10">
        <v>3</v>
      </c>
      <c r="D139" s="10" t="s">
        <v>51</v>
      </c>
      <c r="E139" s="17">
        <v>60000</v>
      </c>
      <c r="F139" s="17">
        <v>820000</v>
      </c>
      <c r="G139" s="356">
        <v>60000</v>
      </c>
      <c r="H139" s="356">
        <v>820000</v>
      </c>
      <c r="I139" s="17">
        <v>43906</v>
      </c>
      <c r="J139" s="17">
        <v>358496</v>
      </c>
      <c r="K139" s="346">
        <v>0.65271261331025376</v>
      </c>
      <c r="L139" s="346">
        <v>0.5746674997768455</v>
      </c>
      <c r="M139" s="346">
        <v>4.2636541702728556E-2</v>
      </c>
      <c r="N139" s="346">
        <v>5.2218155851111309E-2</v>
      </c>
      <c r="O139" s="346">
        <v>0.30465084498701772</v>
      </c>
      <c r="P139" s="346">
        <v>0.37311434437204322</v>
      </c>
      <c r="Q139" s="346">
        <v>1</v>
      </c>
      <c r="R139" s="346">
        <v>1</v>
      </c>
    </row>
    <row r="140" spans="2:18">
      <c r="B140" s="10" t="s">
        <v>648</v>
      </c>
      <c r="C140" s="10">
        <v>2</v>
      </c>
      <c r="D140" s="10" t="s">
        <v>51</v>
      </c>
      <c r="E140" s="17">
        <v>200</v>
      </c>
      <c r="F140" s="17">
        <v>10000</v>
      </c>
      <c r="G140" s="356">
        <v>200</v>
      </c>
      <c r="H140" s="356">
        <v>10000</v>
      </c>
      <c r="I140" s="17">
        <v>180</v>
      </c>
      <c r="J140" s="17">
        <v>6879.420000000001</v>
      </c>
      <c r="K140" s="346">
        <v>0</v>
      </c>
      <c r="L140" s="346">
        <v>3.9352154687459118E-2</v>
      </c>
      <c r="M140" s="346">
        <v>0.48499999999999999</v>
      </c>
      <c r="N140" s="346">
        <v>1.8132342552133755E-2</v>
      </c>
      <c r="O140" s="346">
        <v>0.51500000000000001</v>
      </c>
      <c r="P140" s="346">
        <v>0.94251550276040696</v>
      </c>
      <c r="Q140" s="346">
        <v>1</v>
      </c>
      <c r="R140" s="346">
        <v>1</v>
      </c>
    </row>
    <row r="141" spans="2:18">
      <c r="B141" s="10" t="s">
        <v>54</v>
      </c>
      <c r="C141" s="10">
        <v>5</v>
      </c>
      <c r="D141" s="10" t="s">
        <v>52</v>
      </c>
      <c r="E141" s="17">
        <v>120</v>
      </c>
      <c r="F141" s="17">
        <v>11000</v>
      </c>
      <c r="G141" s="17">
        <v>120</v>
      </c>
      <c r="H141" s="17">
        <v>11000</v>
      </c>
      <c r="I141" s="17">
        <v>42</v>
      </c>
      <c r="J141" s="17">
        <v>2614.366</v>
      </c>
      <c r="K141" s="346">
        <v>0</v>
      </c>
      <c r="L141" s="346">
        <v>0</v>
      </c>
      <c r="M141" s="346">
        <v>0.48499999999999993</v>
      </c>
      <c r="N141" s="346">
        <v>0.2636761646992043</v>
      </c>
      <c r="O141" s="346">
        <v>0.51500000000000001</v>
      </c>
      <c r="P141" s="346">
        <v>0.7363238353007957</v>
      </c>
      <c r="Q141" s="346">
        <v>1</v>
      </c>
      <c r="R141" s="346">
        <v>1</v>
      </c>
    </row>
    <row r="142" spans="2:18">
      <c r="B142" s="10" t="s">
        <v>209</v>
      </c>
      <c r="C142" s="10">
        <v>5</v>
      </c>
      <c r="D142" s="10" t="s">
        <v>52</v>
      </c>
      <c r="E142" s="17">
        <v>80</v>
      </c>
      <c r="F142" s="17">
        <v>6000</v>
      </c>
      <c r="G142" s="17">
        <v>80</v>
      </c>
      <c r="H142" s="17">
        <v>6000</v>
      </c>
      <c r="I142" s="17">
        <v>56</v>
      </c>
      <c r="J142" s="17">
        <v>3165.7374999999997</v>
      </c>
      <c r="K142" s="346">
        <v>0</v>
      </c>
      <c r="L142" s="346">
        <v>1.5418997942817434E-2</v>
      </c>
      <c r="M142" s="346">
        <v>0.48499999999999993</v>
      </c>
      <c r="N142" s="346">
        <v>0.12625809941601288</v>
      </c>
      <c r="O142" s="346">
        <v>0.51500000000000001</v>
      </c>
      <c r="P142" s="346">
        <v>0.85832290264116973</v>
      </c>
      <c r="Q142" s="346">
        <v>1</v>
      </c>
      <c r="R142" s="346">
        <v>1</v>
      </c>
    </row>
    <row r="143" spans="2:18">
      <c r="B143" s="10" t="s">
        <v>215</v>
      </c>
      <c r="C143" s="10">
        <v>5</v>
      </c>
      <c r="D143" s="10" t="s">
        <v>52</v>
      </c>
      <c r="E143" s="17">
        <v>100</v>
      </c>
      <c r="F143" s="17">
        <v>7500</v>
      </c>
      <c r="G143" s="356">
        <v>100</v>
      </c>
      <c r="H143" s="356">
        <v>7500</v>
      </c>
      <c r="I143" s="17">
        <v>90</v>
      </c>
      <c r="J143" s="17">
        <v>1874.4</v>
      </c>
      <c r="K143" s="346">
        <v>0</v>
      </c>
      <c r="L143" s="346">
        <v>0.15060819462227912</v>
      </c>
      <c r="M143" s="346">
        <v>0.48499999999999999</v>
      </c>
      <c r="N143" s="346">
        <v>0.22399167733674774</v>
      </c>
      <c r="O143" s="346">
        <v>0.51500000000000001</v>
      </c>
      <c r="P143" s="346">
        <v>0.62540012804097311</v>
      </c>
      <c r="Q143" s="346">
        <v>1</v>
      </c>
      <c r="R143" s="346">
        <v>1</v>
      </c>
    </row>
    <row r="144" spans="2:18">
      <c r="B144" s="10" t="s">
        <v>59</v>
      </c>
      <c r="C144" s="10">
        <v>5</v>
      </c>
      <c r="D144" s="10" t="s">
        <v>52</v>
      </c>
      <c r="E144" s="17">
        <v>100</v>
      </c>
      <c r="F144" s="17">
        <v>7500</v>
      </c>
      <c r="G144" s="356">
        <v>100</v>
      </c>
      <c r="H144" s="356">
        <v>7500</v>
      </c>
      <c r="I144" s="17">
        <v>90</v>
      </c>
      <c r="J144" s="17">
        <v>1874.4</v>
      </c>
      <c r="K144" s="346">
        <v>0</v>
      </c>
      <c r="L144" s="346">
        <v>0.15060819462227912</v>
      </c>
      <c r="M144" s="346">
        <v>0.48499999999999999</v>
      </c>
      <c r="N144" s="346">
        <v>0.22399167733674774</v>
      </c>
      <c r="O144" s="346">
        <v>0.51500000000000001</v>
      </c>
      <c r="P144" s="346">
        <v>0.62540012804097311</v>
      </c>
      <c r="Q144" s="346">
        <v>1</v>
      </c>
      <c r="R144" s="346">
        <v>1</v>
      </c>
    </row>
    <row r="145" spans="2:18">
      <c r="B145" s="10" t="s">
        <v>232</v>
      </c>
      <c r="C145" s="10">
        <v>5</v>
      </c>
      <c r="D145" s="10" t="s">
        <v>52</v>
      </c>
      <c r="E145" s="17">
        <v>500000</v>
      </c>
      <c r="F145" s="17">
        <v>9900000</v>
      </c>
      <c r="G145" s="356">
        <v>500000</v>
      </c>
      <c r="H145" s="356">
        <v>9900000</v>
      </c>
      <c r="I145" s="17">
        <v>345300</v>
      </c>
      <c r="J145" s="17">
        <v>2171396</v>
      </c>
      <c r="K145" s="346">
        <v>0.37901824500434406</v>
      </c>
      <c r="L145" s="346">
        <v>0.39396775162153747</v>
      </c>
      <c r="M145" s="346">
        <v>7.6238053866203304E-2</v>
      </c>
      <c r="N145" s="346">
        <v>3.8148730125688729E-2</v>
      </c>
      <c r="O145" s="346">
        <v>0.5447437011294527</v>
      </c>
      <c r="P145" s="346">
        <v>0.56788351825277383</v>
      </c>
      <c r="Q145" s="346">
        <v>1</v>
      </c>
      <c r="R145" s="346">
        <v>1</v>
      </c>
    </row>
    <row r="146" spans="2:18">
      <c r="B146" s="10" t="s">
        <v>237</v>
      </c>
      <c r="C146" s="10">
        <v>6</v>
      </c>
      <c r="D146" s="10" t="s">
        <v>52</v>
      </c>
      <c r="E146" s="17">
        <v>80000</v>
      </c>
      <c r="F146" s="17">
        <v>1100000</v>
      </c>
      <c r="G146" s="356">
        <v>80000</v>
      </c>
      <c r="H146" s="356">
        <v>1100000</v>
      </c>
      <c r="I146" s="17">
        <v>40000</v>
      </c>
      <c r="J146" s="17">
        <v>513750</v>
      </c>
      <c r="K146" s="346">
        <v>0.52349999999999997</v>
      </c>
      <c r="L146" s="346">
        <v>0.25278832116788319</v>
      </c>
      <c r="M146" s="346">
        <v>5.8500000000000003E-2</v>
      </c>
      <c r="N146" s="346">
        <v>6.3766423357664234E-2</v>
      </c>
      <c r="O146" s="346">
        <v>0.41799999999999998</v>
      </c>
      <c r="P146" s="346">
        <v>0.68344525547445256</v>
      </c>
      <c r="Q146" s="346">
        <v>1</v>
      </c>
      <c r="R146" s="346">
        <v>1</v>
      </c>
    </row>
    <row r="147" spans="2:18">
      <c r="B147" s="10" t="s">
        <v>2130</v>
      </c>
      <c r="C147" s="10">
        <v>6</v>
      </c>
      <c r="D147" s="10" t="s">
        <v>52</v>
      </c>
      <c r="E147" s="17">
        <v>80000</v>
      </c>
      <c r="F147" s="17">
        <v>1100000</v>
      </c>
      <c r="G147" s="356">
        <v>80000</v>
      </c>
      <c r="H147" s="356">
        <v>1100000</v>
      </c>
      <c r="I147" s="17">
        <v>40000</v>
      </c>
      <c r="J147" s="17">
        <v>461250</v>
      </c>
      <c r="K147" s="346">
        <v>0.642625</v>
      </c>
      <c r="L147" s="346">
        <v>0.40552845528455284</v>
      </c>
      <c r="M147" s="346">
        <v>4.3874999999999997E-2</v>
      </c>
      <c r="N147" s="346">
        <v>5.0731707317073174E-2</v>
      </c>
      <c r="O147" s="346">
        <v>0.3135</v>
      </c>
      <c r="P147" s="346">
        <v>0.54373983739837395</v>
      </c>
      <c r="Q147" s="346">
        <v>1</v>
      </c>
      <c r="R147" s="346">
        <v>1</v>
      </c>
    </row>
    <row r="148" spans="2:18">
      <c r="B148" s="10" t="s">
        <v>2138</v>
      </c>
      <c r="C148" s="10">
        <v>6</v>
      </c>
      <c r="D148" s="10" t="s">
        <v>52</v>
      </c>
      <c r="E148" s="17">
        <v>80000</v>
      </c>
      <c r="F148" s="17">
        <v>1100000</v>
      </c>
      <c r="G148" s="356">
        <v>80000</v>
      </c>
      <c r="H148" s="356">
        <v>1100000</v>
      </c>
      <c r="I148" s="17">
        <v>40000</v>
      </c>
      <c r="J148" s="17">
        <v>461250</v>
      </c>
      <c r="K148" s="346">
        <v>0.642625</v>
      </c>
      <c r="L148" s="346">
        <v>0.40552845528455284</v>
      </c>
      <c r="M148" s="346">
        <v>4.3874999999999997E-2</v>
      </c>
      <c r="N148" s="346">
        <v>5.0731707317073174E-2</v>
      </c>
      <c r="O148" s="346">
        <v>0.3135</v>
      </c>
      <c r="P148" s="346">
        <v>0.54373983739837395</v>
      </c>
      <c r="Q148" s="346">
        <v>1</v>
      </c>
      <c r="R148" s="346">
        <v>1</v>
      </c>
    </row>
    <row r="149" spans="2:18">
      <c r="B149" s="10" t="s">
        <v>638</v>
      </c>
      <c r="C149" s="10">
        <v>5</v>
      </c>
      <c r="D149" s="10" t="s">
        <v>52</v>
      </c>
      <c r="E149" s="17">
        <v>500</v>
      </c>
      <c r="F149" s="17">
        <v>36000</v>
      </c>
      <c r="G149" s="356">
        <v>500</v>
      </c>
      <c r="H149" s="356">
        <v>36000</v>
      </c>
      <c r="I149" s="17">
        <v>299.29499999999996</v>
      </c>
      <c r="J149" s="17">
        <v>3696.6800000000003</v>
      </c>
      <c r="K149" s="346">
        <v>0</v>
      </c>
      <c r="L149" s="346">
        <v>0</v>
      </c>
      <c r="M149" s="346">
        <v>0.46769909286824041</v>
      </c>
      <c r="N149" s="346">
        <v>0.75083588517264144</v>
      </c>
      <c r="O149" s="346">
        <v>0.53230090713175959</v>
      </c>
      <c r="P149" s="346">
        <v>0.24916411482735859</v>
      </c>
      <c r="Q149" s="346">
        <v>1</v>
      </c>
      <c r="R149" s="346">
        <v>1</v>
      </c>
    </row>
    <row r="150" spans="2:18">
      <c r="B150" s="10" t="s">
        <v>246</v>
      </c>
      <c r="C150" s="10">
        <v>5</v>
      </c>
      <c r="D150" s="10" t="s">
        <v>52</v>
      </c>
      <c r="E150" s="17">
        <v>1000</v>
      </c>
      <c r="F150" s="17">
        <v>75000</v>
      </c>
      <c r="G150" s="356">
        <v>1000</v>
      </c>
      <c r="H150" s="356">
        <v>75000</v>
      </c>
      <c r="I150" s="17">
        <v>900</v>
      </c>
      <c r="J150" s="17">
        <v>20131.5</v>
      </c>
      <c r="K150" s="346">
        <v>0</v>
      </c>
      <c r="L150" s="346">
        <v>7.0114000447060579E-2</v>
      </c>
      <c r="M150" s="346">
        <v>0.48499999999999999</v>
      </c>
      <c r="N150" s="346">
        <v>0.3475895983905819</v>
      </c>
      <c r="O150" s="346">
        <v>0.51500000000000001</v>
      </c>
      <c r="P150" s="346">
        <v>0.58229640116235748</v>
      </c>
      <c r="Q150" s="346">
        <v>1</v>
      </c>
      <c r="R150" s="346">
        <v>1</v>
      </c>
    </row>
    <row r="151" spans="2:18">
      <c r="B151" s="10" t="s">
        <v>249</v>
      </c>
      <c r="C151" s="10">
        <v>5</v>
      </c>
      <c r="D151" s="10" t="s">
        <v>52</v>
      </c>
      <c r="E151" s="17">
        <v>100</v>
      </c>
      <c r="F151" s="17">
        <v>7500</v>
      </c>
      <c r="G151" s="356">
        <v>100</v>
      </c>
      <c r="H151" s="356">
        <v>7500</v>
      </c>
      <c r="I151" s="17">
        <v>90</v>
      </c>
      <c r="J151" s="17">
        <v>2153.1</v>
      </c>
      <c r="K151" s="346">
        <v>0</v>
      </c>
      <c r="L151" s="346">
        <v>6.5556639264316569E-2</v>
      </c>
      <c r="M151" s="346">
        <v>0.48499999999999999</v>
      </c>
      <c r="N151" s="346">
        <v>0.38999581998049321</v>
      </c>
      <c r="O151" s="346">
        <v>0.51500000000000001</v>
      </c>
      <c r="P151" s="346">
        <v>0.5444475407551902</v>
      </c>
      <c r="Q151" s="346">
        <v>1</v>
      </c>
      <c r="R151" s="346">
        <v>1</v>
      </c>
    </row>
    <row r="152" spans="2:18">
      <c r="B152" s="10" t="s">
        <v>256</v>
      </c>
      <c r="C152" s="10">
        <v>5</v>
      </c>
      <c r="D152" s="10" t="s">
        <v>52</v>
      </c>
      <c r="E152" s="17">
        <v>200</v>
      </c>
      <c r="F152" s="17">
        <v>15000</v>
      </c>
      <c r="G152" s="356">
        <v>200</v>
      </c>
      <c r="H152" s="356">
        <v>15000</v>
      </c>
      <c r="I152" s="17">
        <v>180</v>
      </c>
      <c r="J152" s="17">
        <v>4306.2</v>
      </c>
      <c r="K152" s="346">
        <v>0</v>
      </c>
      <c r="L152" s="346">
        <v>6.5556639264316569E-2</v>
      </c>
      <c r="M152" s="346">
        <v>0.48499999999999999</v>
      </c>
      <c r="N152" s="346">
        <v>0.38999581998049321</v>
      </c>
      <c r="O152" s="346">
        <v>0.51500000000000001</v>
      </c>
      <c r="P152" s="346">
        <v>0.5444475407551902</v>
      </c>
      <c r="Q152" s="346">
        <v>1</v>
      </c>
      <c r="R152" s="346">
        <v>1</v>
      </c>
    </row>
    <row r="153" spans="2:18">
      <c r="B153" s="10" t="s">
        <v>1946</v>
      </c>
      <c r="C153" s="10">
        <v>6</v>
      </c>
      <c r="D153" s="10" t="s">
        <v>52</v>
      </c>
      <c r="E153" s="17">
        <v>35000</v>
      </c>
      <c r="F153" s="17">
        <v>350000</v>
      </c>
      <c r="G153" s="356">
        <v>35000</v>
      </c>
      <c r="H153" s="356">
        <v>350000</v>
      </c>
      <c r="I153" s="17">
        <v>24161.35</v>
      </c>
      <c r="J153" s="17">
        <v>233602.00000000003</v>
      </c>
      <c r="K153" s="346">
        <v>8.4097122056507601E-2</v>
      </c>
      <c r="L153" s="346">
        <v>0.18670216864581637</v>
      </c>
      <c r="M153" s="346">
        <v>0.14917626705461409</v>
      </c>
      <c r="N153" s="346">
        <v>0.10605217421083722</v>
      </c>
      <c r="O153" s="346">
        <v>0.76672661088887828</v>
      </c>
      <c r="P153" s="346">
        <v>0.70724565714334631</v>
      </c>
      <c r="Q153" s="346">
        <v>1</v>
      </c>
      <c r="R153" s="346">
        <v>1</v>
      </c>
    </row>
    <row r="154" spans="2:18">
      <c r="B154" s="10" t="s">
        <v>1143</v>
      </c>
      <c r="C154" s="10">
        <v>2</v>
      </c>
      <c r="D154" s="10" t="s">
        <v>53</v>
      </c>
      <c r="E154" s="17">
        <v>80</v>
      </c>
      <c r="F154" s="17">
        <v>5000</v>
      </c>
      <c r="G154" s="17">
        <v>80</v>
      </c>
      <c r="H154" s="17">
        <v>5000</v>
      </c>
      <c r="I154" s="17">
        <v>48</v>
      </c>
      <c r="J154" s="17">
        <v>2123.7874999999999</v>
      </c>
      <c r="K154" s="346">
        <v>0</v>
      </c>
      <c r="L154" s="346">
        <v>0.12917959070763904</v>
      </c>
      <c r="M154" s="346">
        <v>0.48499999999999993</v>
      </c>
      <c r="N154" s="346">
        <v>9.1022524616987344E-2</v>
      </c>
      <c r="O154" s="346">
        <v>0.51500000000000001</v>
      </c>
      <c r="P154" s="346">
        <v>0.77979788467537359</v>
      </c>
      <c r="Q154" s="346">
        <v>1</v>
      </c>
      <c r="R154" s="346">
        <v>1</v>
      </c>
    </row>
    <row r="155" spans="2:18">
      <c r="B155" s="10" t="s">
        <v>2118</v>
      </c>
      <c r="C155" s="10">
        <v>3</v>
      </c>
      <c r="D155" s="10" t="s">
        <v>53</v>
      </c>
      <c r="E155" s="17">
        <v>13</v>
      </c>
      <c r="F155" s="17">
        <v>500</v>
      </c>
      <c r="G155" s="17">
        <v>13</v>
      </c>
      <c r="H155" s="17">
        <v>500</v>
      </c>
      <c r="I155" s="17">
        <v>11.7</v>
      </c>
      <c r="J155" s="17">
        <v>423.57999999999993</v>
      </c>
      <c r="K155" s="346">
        <v>0</v>
      </c>
      <c r="L155" s="346">
        <v>2.9958921573256532E-2</v>
      </c>
      <c r="M155" s="346">
        <v>0.48500000000000004</v>
      </c>
      <c r="N155" s="346">
        <v>0.21830586902120025</v>
      </c>
      <c r="O155" s="346">
        <v>0.51500000000000001</v>
      </c>
      <c r="P155" s="346">
        <v>0.75173520940554328</v>
      </c>
      <c r="Q155" s="346">
        <v>1</v>
      </c>
      <c r="R155" s="346">
        <v>1</v>
      </c>
    </row>
    <row r="156" spans="2:18">
      <c r="B156" s="10" t="s">
        <v>2121</v>
      </c>
      <c r="C156" s="10">
        <v>3</v>
      </c>
      <c r="D156" s="10" t="s">
        <v>53</v>
      </c>
      <c r="E156" s="17">
        <v>37</v>
      </c>
      <c r="F156" s="17">
        <v>500</v>
      </c>
      <c r="G156" s="17">
        <v>37</v>
      </c>
      <c r="H156" s="17">
        <v>500</v>
      </c>
      <c r="I156" s="17">
        <v>33.299999999999997</v>
      </c>
      <c r="J156" s="17">
        <v>448.87199999999996</v>
      </c>
      <c r="K156" s="346">
        <v>0</v>
      </c>
      <c r="L156" s="346">
        <v>3.1412072929476556E-4</v>
      </c>
      <c r="M156" s="346">
        <v>0.4850000000000001</v>
      </c>
      <c r="N156" s="346">
        <v>0.46408330214404109</v>
      </c>
      <c r="O156" s="346">
        <v>0.51500000000000001</v>
      </c>
      <c r="P156" s="346">
        <v>0.53560257712666426</v>
      </c>
      <c r="Q156" s="346">
        <v>1</v>
      </c>
      <c r="R156" s="346">
        <v>1</v>
      </c>
    </row>
    <row r="157" spans="2:18">
      <c r="B157" s="10" t="s">
        <v>225</v>
      </c>
      <c r="C157" s="10">
        <v>4</v>
      </c>
      <c r="D157" s="10" t="s">
        <v>53</v>
      </c>
      <c r="E157" s="17">
        <v>8000</v>
      </c>
      <c r="F157" s="17">
        <v>600000</v>
      </c>
      <c r="G157" s="356">
        <v>8000</v>
      </c>
      <c r="H157" s="356">
        <v>600000</v>
      </c>
      <c r="I157" s="17">
        <v>7200</v>
      </c>
      <c r="J157" s="17">
        <v>30935.700000000004</v>
      </c>
      <c r="K157" s="346">
        <v>0</v>
      </c>
      <c r="L157" s="346">
        <v>0</v>
      </c>
      <c r="M157" s="346">
        <v>0.48499999999999999</v>
      </c>
      <c r="N157" s="346">
        <v>0.44799697436941782</v>
      </c>
      <c r="O157" s="346">
        <v>0.51500000000000001</v>
      </c>
      <c r="P157" s="346">
        <v>0.55200302563058212</v>
      </c>
      <c r="Q157" s="346">
        <v>1</v>
      </c>
      <c r="R157" s="346">
        <v>1</v>
      </c>
    </row>
    <row r="158" spans="2:18">
      <c r="B158" s="10" t="s">
        <v>2124</v>
      </c>
      <c r="C158" s="10">
        <v>2</v>
      </c>
      <c r="D158" s="10" t="s">
        <v>53</v>
      </c>
      <c r="E158" s="17">
        <v>6</v>
      </c>
      <c r="F158" s="17">
        <v>150</v>
      </c>
      <c r="G158" s="356">
        <v>6</v>
      </c>
      <c r="H158" s="356">
        <v>150</v>
      </c>
      <c r="I158" s="17">
        <v>3.5999999999999996</v>
      </c>
      <c r="J158" s="17">
        <v>70.400000000000006</v>
      </c>
      <c r="K158" s="346">
        <v>0</v>
      </c>
      <c r="L158" s="346">
        <v>6.6761363636363633E-3</v>
      </c>
      <c r="M158" s="346">
        <v>0.48500000000000004</v>
      </c>
      <c r="N158" s="346">
        <v>0.4632102272727272</v>
      </c>
      <c r="O158" s="346">
        <v>0.51500000000000001</v>
      </c>
      <c r="P158" s="346">
        <v>0.5301136363636364</v>
      </c>
      <c r="Q158" s="346">
        <v>1</v>
      </c>
      <c r="R158" s="346">
        <v>1</v>
      </c>
    </row>
    <row r="159" spans="2:18">
      <c r="B159" s="10" t="s">
        <v>474</v>
      </c>
      <c r="C159" s="10">
        <v>2</v>
      </c>
      <c r="D159" s="10" t="s">
        <v>53</v>
      </c>
      <c r="E159" s="17">
        <v>20</v>
      </c>
      <c r="F159" s="17">
        <v>1500</v>
      </c>
      <c r="G159" s="356">
        <v>20</v>
      </c>
      <c r="H159" s="356">
        <v>1500</v>
      </c>
      <c r="I159" s="17">
        <v>10</v>
      </c>
      <c r="J159" s="17">
        <v>1350</v>
      </c>
      <c r="K159" s="346">
        <v>0</v>
      </c>
      <c r="L159" s="346">
        <v>0.13737333333333335</v>
      </c>
      <c r="M159" s="346">
        <v>0.48499999999999999</v>
      </c>
      <c r="N159" s="346">
        <v>0.19284000000000001</v>
      </c>
      <c r="O159" s="346">
        <v>0.51500000000000001</v>
      </c>
      <c r="P159" s="346">
        <v>0.66978666666666675</v>
      </c>
      <c r="Q159" s="346">
        <v>1</v>
      </c>
      <c r="R159" s="346">
        <v>1</v>
      </c>
    </row>
    <row r="160" spans="2:18">
      <c r="B160" s="10" t="s">
        <v>2131</v>
      </c>
      <c r="C160" s="10">
        <v>3</v>
      </c>
      <c r="D160" s="10" t="s">
        <v>53</v>
      </c>
      <c r="E160" s="17">
        <v>55</v>
      </c>
      <c r="F160" s="17">
        <v>200</v>
      </c>
      <c r="G160" s="356">
        <v>55</v>
      </c>
      <c r="H160" s="356">
        <v>200</v>
      </c>
      <c r="I160" s="17">
        <v>44</v>
      </c>
      <c r="J160" s="17">
        <v>68.768000000000015</v>
      </c>
      <c r="K160" s="346">
        <v>0</v>
      </c>
      <c r="L160" s="346">
        <v>0</v>
      </c>
      <c r="M160" s="346">
        <v>0.4850000000000001</v>
      </c>
      <c r="N160" s="346">
        <v>1</v>
      </c>
      <c r="O160" s="346">
        <v>0.51500000000000001</v>
      </c>
      <c r="P160" s="346">
        <v>0</v>
      </c>
      <c r="Q160" s="346">
        <v>1</v>
      </c>
      <c r="R160" s="346">
        <v>1</v>
      </c>
    </row>
    <row r="161" spans="2:18">
      <c r="B161" s="10" t="s">
        <v>475</v>
      </c>
      <c r="C161" s="10">
        <v>2</v>
      </c>
      <c r="D161" s="10" t="s">
        <v>53</v>
      </c>
      <c r="E161" s="17">
        <v>1800</v>
      </c>
      <c r="F161" s="17">
        <v>16000</v>
      </c>
      <c r="G161" s="356">
        <v>1800</v>
      </c>
      <c r="H161" s="356">
        <v>16000</v>
      </c>
      <c r="I161" s="17">
        <v>1369.6419999999998</v>
      </c>
      <c r="J161" s="17">
        <v>10457.887999999999</v>
      </c>
      <c r="K161" s="346">
        <v>0.3595873958304433</v>
      </c>
      <c r="L161" s="346">
        <v>0.42577162807633817</v>
      </c>
      <c r="M161" s="346">
        <v>8.0739346486162086E-2</v>
      </c>
      <c r="N161" s="346">
        <v>7.1467967528434054E-2</v>
      </c>
      <c r="O161" s="346">
        <v>0.55967325768339471</v>
      </c>
      <c r="P161" s="346">
        <v>0.50276040439522773</v>
      </c>
      <c r="Q161" s="346">
        <v>1</v>
      </c>
      <c r="R161" s="346">
        <v>1</v>
      </c>
    </row>
    <row r="162" spans="2:18">
      <c r="B162" s="10" t="s">
        <v>2141</v>
      </c>
      <c r="C162" s="10">
        <v>2</v>
      </c>
      <c r="D162" s="10" t="s">
        <v>53</v>
      </c>
      <c r="E162" s="17">
        <v>225</v>
      </c>
      <c r="F162" s="17">
        <v>9000</v>
      </c>
      <c r="G162" s="356">
        <v>225</v>
      </c>
      <c r="H162" s="356">
        <v>9000</v>
      </c>
      <c r="I162" s="17">
        <v>180</v>
      </c>
      <c r="J162" s="17">
        <v>5031.0000000000009</v>
      </c>
      <c r="K162" s="346">
        <v>0</v>
      </c>
      <c r="L162" s="346">
        <v>0</v>
      </c>
      <c r="M162" s="346">
        <v>0.48500000000000004</v>
      </c>
      <c r="N162" s="346">
        <v>2.4130391572252035E-2</v>
      </c>
      <c r="O162" s="346">
        <v>0.51500000000000001</v>
      </c>
      <c r="P162" s="346">
        <v>0.97586960842774784</v>
      </c>
      <c r="Q162" s="346">
        <v>1</v>
      </c>
      <c r="R162" s="346">
        <v>1</v>
      </c>
    </row>
    <row r="163" spans="2:18">
      <c r="B163" s="10" t="s">
        <v>649</v>
      </c>
      <c r="C163" s="10">
        <v>4</v>
      </c>
      <c r="D163" s="10" t="s">
        <v>53</v>
      </c>
      <c r="E163" s="17">
        <v>35000</v>
      </c>
      <c r="F163" s="17">
        <v>120000</v>
      </c>
      <c r="G163" s="356">
        <v>35000</v>
      </c>
      <c r="H163" s="356">
        <v>120000</v>
      </c>
      <c r="I163" s="17">
        <v>28000.000000000004</v>
      </c>
      <c r="J163" s="17">
        <v>79133.099999999991</v>
      </c>
      <c r="K163" s="346">
        <v>0.19494428571428571</v>
      </c>
      <c r="L163" s="346">
        <v>0.15659439602391415</v>
      </c>
      <c r="M163" s="346">
        <v>0.11280857142857142</v>
      </c>
      <c r="N163" s="346">
        <v>8.85091068086553E-2</v>
      </c>
      <c r="O163" s="346">
        <v>0.69224714285714284</v>
      </c>
      <c r="P163" s="346">
        <v>0.75489649716743057</v>
      </c>
      <c r="Q163" s="346">
        <v>1</v>
      </c>
      <c r="R163" s="346">
        <v>1</v>
      </c>
    </row>
    <row r="164" spans="2:18">
      <c r="B164" s="10" t="s">
        <v>652</v>
      </c>
      <c r="C164" s="10">
        <v>2</v>
      </c>
      <c r="D164" s="10" t="s">
        <v>53</v>
      </c>
      <c r="E164" s="17">
        <v>500</v>
      </c>
      <c r="F164" s="17">
        <v>24000</v>
      </c>
      <c r="G164" s="356">
        <v>500</v>
      </c>
      <c r="H164" s="356">
        <v>24000</v>
      </c>
      <c r="I164" s="17">
        <v>398.82499999999999</v>
      </c>
      <c r="J164" s="17">
        <v>16154.749999999998</v>
      </c>
      <c r="K164" s="346">
        <v>2.0623080298376482E-2</v>
      </c>
      <c r="L164" s="346">
        <v>0.17911140686175894</v>
      </c>
      <c r="M164" s="346">
        <v>0.30188679245283023</v>
      </c>
      <c r="N164" s="346">
        <v>0.13116885126665534</v>
      </c>
      <c r="O164" s="346">
        <v>0.67749012724879332</v>
      </c>
      <c r="P164" s="346">
        <v>0.6897197418715858</v>
      </c>
      <c r="Q164" s="346">
        <v>1</v>
      </c>
      <c r="R164" s="346">
        <v>1</v>
      </c>
    </row>
    <row r="165" spans="2:18">
      <c r="B165" s="10" t="s">
        <v>268</v>
      </c>
      <c r="C165" s="10">
        <v>6</v>
      </c>
      <c r="D165" s="10" t="s">
        <v>53</v>
      </c>
      <c r="E165" s="17">
        <v>73000</v>
      </c>
      <c r="F165" s="17">
        <v>200000</v>
      </c>
      <c r="G165" s="356">
        <v>73000</v>
      </c>
      <c r="H165" s="356">
        <v>200000</v>
      </c>
      <c r="I165" s="17">
        <v>35406</v>
      </c>
      <c r="J165" s="17">
        <v>90496</v>
      </c>
      <c r="K165" s="346">
        <v>0.2002598429644693</v>
      </c>
      <c r="L165" s="346">
        <v>0.15753182461103254</v>
      </c>
      <c r="M165" s="346">
        <v>0.11499745805795628</v>
      </c>
      <c r="N165" s="346">
        <v>0.10342998585572843</v>
      </c>
      <c r="O165" s="346">
        <v>0.68474269897757445</v>
      </c>
      <c r="P165" s="346">
        <v>0.73903818953323908</v>
      </c>
      <c r="Q165" s="346">
        <v>1</v>
      </c>
      <c r="R165" s="346">
        <v>1</v>
      </c>
    </row>
    <row r="166" spans="2:18">
      <c r="B166" s="10" t="s">
        <v>479</v>
      </c>
      <c r="C166" s="10">
        <v>6</v>
      </c>
      <c r="D166" s="10" t="s">
        <v>53</v>
      </c>
      <c r="E166" s="17">
        <v>6500</v>
      </c>
      <c r="F166" s="17">
        <v>10000</v>
      </c>
      <c r="G166" s="17">
        <v>6500</v>
      </c>
      <c r="H166" s="17">
        <v>10000</v>
      </c>
      <c r="I166" s="17">
        <v>4203</v>
      </c>
      <c r="J166" s="17">
        <v>5524.7999999999993</v>
      </c>
      <c r="K166" s="346">
        <v>0.20640019034023316</v>
      </c>
      <c r="L166" s="346">
        <v>0.17202432667245876</v>
      </c>
      <c r="M166" s="346">
        <v>9.7430406852248394E-2</v>
      </c>
      <c r="N166" s="346">
        <v>0.10165073848827108</v>
      </c>
      <c r="O166" s="346">
        <v>0.69616940280751849</v>
      </c>
      <c r="P166" s="346">
        <v>0.7263249348392703</v>
      </c>
      <c r="Q166" s="346">
        <v>1</v>
      </c>
      <c r="R166" s="346">
        <v>1</v>
      </c>
    </row>
  </sheetData>
  <sheetProtection selectLockedCells="1" selectUnlockedCells="1"/>
  <sortState xmlns:xlrd2="http://schemas.microsoft.com/office/spreadsheetml/2017/richdata2" ref="B2:J177">
    <sortCondition ref="D2:D177"/>
    <sortCondition ref="B2:B177"/>
  </sortState>
  <pageMargins left="0.7" right="0.7" top="0.75" bottom="0.75" header="0.3" footer="0.3"/>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D3:AB37"/>
  <sheetViews>
    <sheetView workbookViewId="0">
      <selection activeCell="AD20" sqref="AD20"/>
    </sheetView>
  </sheetViews>
  <sheetFormatPr defaultColWidth="8.85546875" defaultRowHeight="15"/>
  <sheetData>
    <row r="3" spans="4:28" ht="15.75" thickBot="1">
      <c r="D3" s="23"/>
      <c r="E3" s="23"/>
      <c r="F3" s="23"/>
      <c r="G3" s="23"/>
      <c r="H3" s="23"/>
      <c r="I3" s="23"/>
      <c r="M3" s="23"/>
      <c r="N3" s="23"/>
      <c r="O3" s="23"/>
      <c r="P3" s="23"/>
      <c r="Q3" s="23"/>
      <c r="R3" s="23"/>
      <c r="S3" s="23"/>
      <c r="T3" s="23"/>
      <c r="Y3" s="26" t="s">
        <v>1028</v>
      </c>
      <c r="Z3" s="26"/>
      <c r="AA3" s="26"/>
      <c r="AB3" s="23"/>
    </row>
    <row r="4" spans="4:28" ht="15.75" thickBot="1">
      <c r="D4" s="23"/>
      <c r="E4" s="24" t="s">
        <v>154</v>
      </c>
      <c r="F4" s="25"/>
      <c r="G4" s="23"/>
      <c r="H4" s="23"/>
      <c r="I4" s="23"/>
      <c r="M4" s="23"/>
      <c r="N4" s="24" t="s">
        <v>155</v>
      </c>
      <c r="O4" s="25"/>
      <c r="P4" s="23"/>
      <c r="Q4" s="23"/>
      <c r="R4" s="23"/>
      <c r="S4" s="23"/>
      <c r="T4" s="23"/>
      <c r="Y4" s="23"/>
      <c r="Z4" s="23"/>
      <c r="AA4" s="23"/>
      <c r="AB4" s="23"/>
    </row>
    <row r="5" spans="4:28">
      <c r="D5" s="23"/>
      <c r="E5" s="23"/>
      <c r="F5" s="23"/>
      <c r="G5" s="23"/>
      <c r="H5" s="23" t="s">
        <v>156</v>
      </c>
      <c r="I5" s="23"/>
      <c r="M5" s="23"/>
      <c r="N5" s="23"/>
      <c r="O5" s="23"/>
      <c r="P5" s="23"/>
      <c r="Q5" s="23"/>
      <c r="R5" s="23"/>
      <c r="S5" s="23"/>
      <c r="T5" s="23"/>
      <c r="Y5" s="23"/>
      <c r="Z5" s="88" t="s">
        <v>955</v>
      </c>
      <c r="AA5" s="23"/>
      <c r="AB5" s="23"/>
    </row>
    <row r="6" spans="4:28">
      <c r="D6" s="23"/>
      <c r="E6" s="23" t="s">
        <v>157</v>
      </c>
      <c r="F6" s="23"/>
      <c r="G6" s="23"/>
      <c r="H6" s="23" t="s">
        <v>88</v>
      </c>
      <c r="I6" s="23"/>
      <c r="M6" s="23"/>
      <c r="N6" s="23"/>
      <c r="O6" s="23"/>
      <c r="P6" s="23"/>
      <c r="Q6" s="23"/>
      <c r="R6" s="23"/>
      <c r="S6" s="23"/>
      <c r="T6" s="23"/>
      <c r="Y6" s="23"/>
      <c r="Z6" s="88" t="s">
        <v>955</v>
      </c>
      <c r="AA6" s="23"/>
      <c r="AB6" s="23"/>
    </row>
    <row r="7" spans="4:28">
      <c r="D7" s="23"/>
      <c r="E7" s="23" t="s">
        <v>158</v>
      </c>
      <c r="F7" s="23"/>
      <c r="G7" s="23"/>
      <c r="H7" s="23" t="s">
        <v>89</v>
      </c>
      <c r="I7" s="23"/>
      <c r="M7" s="23"/>
      <c r="N7" s="23" t="s">
        <v>159</v>
      </c>
      <c r="O7" s="23" t="s">
        <v>160</v>
      </c>
      <c r="P7" s="23" t="s">
        <v>161</v>
      </c>
      <c r="Q7" s="23"/>
      <c r="R7" s="23"/>
      <c r="S7" s="23"/>
      <c r="T7" s="23"/>
      <c r="Y7" s="23"/>
      <c r="Z7" s="88" t="s">
        <v>958</v>
      </c>
      <c r="AA7" s="23"/>
      <c r="AB7" s="23"/>
    </row>
    <row r="8" spans="4:28">
      <c r="D8" s="23"/>
      <c r="E8" s="23" t="s">
        <v>162</v>
      </c>
      <c r="F8" s="23"/>
      <c r="G8" s="23"/>
      <c r="H8" s="23" t="s">
        <v>88</v>
      </c>
      <c r="I8" s="23"/>
      <c r="M8" s="23"/>
      <c r="N8" s="23">
        <v>1</v>
      </c>
      <c r="O8" s="23">
        <v>1</v>
      </c>
      <c r="P8" s="23">
        <v>1</v>
      </c>
      <c r="Q8" s="23"/>
      <c r="R8" s="23"/>
      <c r="S8" s="23"/>
      <c r="T8" s="23"/>
      <c r="Y8" s="23"/>
      <c r="Z8" s="88" t="s">
        <v>959</v>
      </c>
      <c r="AA8" s="23"/>
      <c r="AB8" s="23"/>
    </row>
    <row r="9" spans="4:28">
      <c r="D9" s="23"/>
      <c r="E9" s="23" t="s">
        <v>163</v>
      </c>
      <c r="F9" s="23"/>
      <c r="G9" s="23"/>
      <c r="H9" s="23" t="s">
        <v>89</v>
      </c>
      <c r="I9" s="23"/>
      <c r="M9" s="23"/>
      <c r="N9" s="23"/>
      <c r="O9" s="23"/>
      <c r="P9" s="23"/>
      <c r="Q9" s="23"/>
      <c r="R9" s="23"/>
      <c r="S9" s="23"/>
      <c r="T9" s="23"/>
      <c r="Y9" s="23"/>
      <c r="Z9" s="88" t="s">
        <v>958</v>
      </c>
      <c r="AA9" s="23"/>
      <c r="AB9" s="23"/>
    </row>
    <row r="10" spans="4:28">
      <c r="D10" s="23"/>
      <c r="E10" s="23" t="s">
        <v>164</v>
      </c>
      <c r="F10" s="23"/>
      <c r="G10" s="23"/>
      <c r="H10" s="23" t="s">
        <v>88</v>
      </c>
      <c r="I10" s="23"/>
      <c r="M10" s="23"/>
      <c r="N10" s="23" t="s">
        <v>159</v>
      </c>
      <c r="O10" s="23" t="s">
        <v>160</v>
      </c>
      <c r="P10" s="23" t="s">
        <v>161</v>
      </c>
      <c r="Q10" s="23"/>
      <c r="R10" s="23" t="s">
        <v>165</v>
      </c>
      <c r="S10" s="23"/>
      <c r="T10" s="23"/>
      <c r="Y10" s="23"/>
      <c r="Z10" s="88" t="s">
        <v>962</v>
      </c>
      <c r="AA10" s="23"/>
      <c r="AB10" s="23"/>
    </row>
    <row r="11" spans="4:28">
      <c r="D11" s="23"/>
      <c r="E11" s="23"/>
      <c r="F11" s="23"/>
      <c r="G11" s="23"/>
      <c r="H11" s="23"/>
      <c r="I11" s="23"/>
      <c r="M11" s="23"/>
      <c r="N11" s="23">
        <v>1</v>
      </c>
      <c r="O11" s="23">
        <v>1</v>
      </c>
      <c r="P11" s="23"/>
      <c r="Q11" s="23"/>
      <c r="R11" s="23">
        <f>IF(H6="Yes",1,0)</f>
        <v>1</v>
      </c>
      <c r="S11" s="23" t="s">
        <v>166</v>
      </c>
      <c r="T11" s="23"/>
      <c r="Y11" s="23"/>
      <c r="Z11" s="88" t="s">
        <v>964</v>
      </c>
      <c r="AA11" s="23"/>
      <c r="AB11" s="23"/>
    </row>
    <row r="12" spans="4:28">
      <c r="D12" s="23"/>
      <c r="E12" s="23"/>
      <c r="F12" s="23"/>
      <c r="G12" s="23"/>
      <c r="H12" s="23"/>
      <c r="I12" s="23"/>
      <c r="M12" s="23"/>
      <c r="N12" s="23">
        <v>0</v>
      </c>
      <c r="O12" s="23">
        <v>1</v>
      </c>
      <c r="P12" s="23"/>
      <c r="Q12" s="23"/>
      <c r="R12" s="23">
        <f>IF(H7="Yes",1,0)</f>
        <v>0</v>
      </c>
      <c r="S12" s="23" t="s">
        <v>167</v>
      </c>
      <c r="T12" s="23"/>
      <c r="Y12" s="23"/>
      <c r="Z12" s="88" t="s">
        <v>966</v>
      </c>
      <c r="AA12" s="23"/>
      <c r="AB12" s="23"/>
    </row>
    <row r="13" spans="4:28">
      <c r="D13" s="23"/>
      <c r="E13" s="23"/>
      <c r="F13" s="23"/>
      <c r="G13" s="23"/>
      <c r="H13" s="23"/>
      <c r="I13" s="23"/>
      <c r="M13" s="23"/>
      <c r="N13" s="23">
        <v>1</v>
      </c>
      <c r="O13" s="23"/>
      <c r="P13" s="23">
        <v>1</v>
      </c>
      <c r="Q13" s="23"/>
      <c r="R13" s="23">
        <f>IF(H8="Yes",1,0)</f>
        <v>1</v>
      </c>
      <c r="S13" s="23" t="s">
        <v>168</v>
      </c>
      <c r="T13" s="23"/>
      <c r="Y13" s="23"/>
      <c r="Z13" s="89" t="s">
        <v>968</v>
      </c>
      <c r="AA13" s="23"/>
      <c r="AB13" s="23"/>
    </row>
    <row r="14" spans="4:28">
      <c r="D14" s="23"/>
      <c r="E14" s="26" t="s">
        <v>169</v>
      </c>
      <c r="F14" s="23"/>
      <c r="G14" s="23"/>
      <c r="H14" s="23"/>
      <c r="I14" s="23"/>
      <c r="M14" s="23"/>
      <c r="N14" s="23">
        <v>1</v>
      </c>
      <c r="O14" s="23"/>
      <c r="P14" s="23"/>
      <c r="Q14" s="23"/>
      <c r="R14" s="23">
        <f>IF(H9="Yes",1,0)</f>
        <v>0</v>
      </c>
      <c r="S14" s="23" t="s">
        <v>170</v>
      </c>
      <c r="T14" s="23"/>
      <c r="Y14" s="23"/>
      <c r="Z14" s="89" t="s">
        <v>970</v>
      </c>
      <c r="AA14" s="23"/>
      <c r="AB14" s="23"/>
    </row>
    <row r="15" spans="4:28">
      <c r="M15" s="23"/>
      <c r="N15" s="23">
        <v>1</v>
      </c>
      <c r="O15" s="23"/>
      <c r="P15" s="23"/>
      <c r="Q15" s="23"/>
      <c r="R15" s="23">
        <f>IF(H10="Yes",1,0)</f>
        <v>1</v>
      </c>
      <c r="S15" s="23" t="s">
        <v>171</v>
      </c>
      <c r="T15" s="23"/>
      <c r="Y15" s="23"/>
      <c r="Z15" s="89" t="s">
        <v>972</v>
      </c>
      <c r="AA15" s="23"/>
      <c r="AB15" s="23"/>
    </row>
    <row r="16" spans="4:28">
      <c r="M16" s="23"/>
      <c r="N16" s="23"/>
      <c r="O16" s="23"/>
      <c r="P16" s="23"/>
      <c r="Q16" s="23"/>
      <c r="R16" s="23"/>
      <c r="S16" s="23"/>
      <c r="T16" s="23"/>
      <c r="Y16" s="23"/>
      <c r="Z16" s="89" t="s">
        <v>970</v>
      </c>
      <c r="AA16" s="23"/>
      <c r="AB16" s="23"/>
    </row>
    <row r="17" spans="4:28" ht="15.75" thickBot="1">
      <c r="D17" s="23"/>
      <c r="E17" s="23"/>
      <c r="F17" s="23"/>
      <c r="G17" s="23"/>
      <c r="H17" s="23"/>
      <c r="I17" s="23"/>
      <c r="M17" s="26" t="s">
        <v>172</v>
      </c>
      <c r="N17" s="23">
        <f>DPRODUCT($N$10:$R$15,"Answers",N7:N8)</f>
        <v>0</v>
      </c>
      <c r="O17" s="23">
        <f>DPRODUCT($N$10:$R$15,"Answers",O7:O8)</f>
        <v>0</v>
      </c>
      <c r="P17" s="23">
        <f>DPRODUCT($N$10:$R$15,"Answers",P7:P8)</f>
        <v>1</v>
      </c>
      <c r="Q17" s="23"/>
      <c r="R17" s="23"/>
      <c r="S17" s="23"/>
      <c r="T17" s="23"/>
      <c r="Y17" s="23"/>
      <c r="Z17" s="89" t="s">
        <v>972</v>
      </c>
      <c r="AA17" s="23"/>
      <c r="AB17" s="23"/>
    </row>
    <row r="18" spans="4:28" ht="15.75" thickBot="1">
      <c r="D18" s="23"/>
      <c r="E18" s="24" t="s">
        <v>173</v>
      </c>
      <c r="F18" s="25"/>
      <c r="G18" s="23"/>
      <c r="H18" s="23"/>
      <c r="I18" s="23"/>
      <c r="M18" s="23"/>
      <c r="N18" s="23"/>
      <c r="O18" s="23"/>
      <c r="P18" s="23"/>
      <c r="Q18" s="23"/>
      <c r="R18" s="23"/>
      <c r="S18" s="23"/>
      <c r="T18" s="23"/>
      <c r="Y18" s="23"/>
      <c r="Z18" s="23"/>
      <c r="AA18" s="23"/>
      <c r="AB18" s="23"/>
    </row>
    <row r="19" spans="4:28">
      <c r="D19" s="27" t="s">
        <v>174</v>
      </c>
      <c r="E19" s="23" t="str">
        <f>IF(N17=1,"6)  ","")</f>
        <v/>
      </c>
      <c r="F19" s="23"/>
      <c r="G19" s="23"/>
      <c r="H19" s="23"/>
      <c r="I19" s="23"/>
      <c r="M19" s="23"/>
      <c r="N19" s="23"/>
      <c r="O19" s="23"/>
      <c r="P19" s="23"/>
      <c r="Q19" s="23"/>
      <c r="R19" s="23"/>
      <c r="S19" s="23"/>
      <c r="T19" s="23"/>
    </row>
    <row r="20" spans="4:28">
      <c r="D20" s="27" t="s">
        <v>174</v>
      </c>
      <c r="E20" s="23" t="str">
        <f>IF(O17=1,"7)  ","")</f>
        <v/>
      </c>
      <c r="F20" s="23"/>
      <c r="G20" s="23"/>
      <c r="H20" s="23"/>
      <c r="I20" s="23"/>
      <c r="M20" s="23"/>
      <c r="N20" s="23"/>
      <c r="O20" s="23"/>
      <c r="P20" s="23"/>
      <c r="Q20" s="23"/>
      <c r="R20" s="23"/>
      <c r="S20" s="23"/>
      <c r="T20" s="23"/>
    </row>
    <row r="21" spans="4:28">
      <c r="D21" s="27" t="s">
        <v>174</v>
      </c>
      <c r="E21" s="23" t="str">
        <f>IF(P17=1,"8)  ","")</f>
        <v xml:space="preserve">8)  </v>
      </c>
      <c r="F21" s="23"/>
      <c r="G21" s="23"/>
      <c r="H21" s="23" t="s">
        <v>88</v>
      </c>
      <c r="I21" s="23"/>
      <c r="M21" s="23"/>
      <c r="N21" s="26" t="s">
        <v>175</v>
      </c>
      <c r="O21" s="23"/>
      <c r="P21" s="23"/>
      <c r="Q21" s="23"/>
      <c r="R21" s="23"/>
      <c r="S21" s="23"/>
      <c r="T21" s="23"/>
    </row>
    <row r="22" spans="4:28">
      <c r="D22" s="23"/>
      <c r="E22" s="23"/>
      <c r="F22" s="23"/>
      <c r="G22" s="23"/>
      <c r="H22" s="23"/>
      <c r="I22" s="23"/>
      <c r="M22" s="23"/>
      <c r="N22" s="26" t="s">
        <v>176</v>
      </c>
      <c r="O22" s="23"/>
      <c r="P22" s="23"/>
      <c r="Q22" s="23"/>
      <c r="R22" s="23"/>
      <c r="S22" s="23"/>
      <c r="T22" s="23"/>
    </row>
    <row r="23" spans="4:28">
      <c r="D23" s="26" t="s">
        <v>177</v>
      </c>
      <c r="E23" s="23"/>
      <c r="F23" s="23"/>
      <c r="G23" s="23"/>
      <c r="H23" s="23"/>
      <c r="I23" s="23"/>
    </row>
    <row r="24" spans="4:28" ht="15.75" thickBot="1">
      <c r="D24" s="23"/>
      <c r="E24" s="23"/>
      <c r="F24" s="23"/>
      <c r="G24" s="23"/>
      <c r="H24" s="23"/>
      <c r="I24" s="23"/>
      <c r="M24" s="23"/>
      <c r="N24" s="23"/>
      <c r="O24" s="23"/>
      <c r="P24" s="23"/>
      <c r="Q24" s="23"/>
      <c r="R24" s="23"/>
      <c r="S24" s="23"/>
      <c r="T24" s="23"/>
    </row>
    <row r="25" spans="4:28" ht="15.75" thickBot="1">
      <c r="M25" s="23"/>
      <c r="N25" s="23" t="s">
        <v>178</v>
      </c>
      <c r="O25" s="23" t="s">
        <v>179</v>
      </c>
      <c r="P25" s="23" t="s">
        <v>180</v>
      </c>
      <c r="Q25" s="23"/>
      <c r="R25" s="24" t="s">
        <v>181</v>
      </c>
      <c r="S25" s="25"/>
      <c r="T25" s="23"/>
    </row>
    <row r="26" spans="4:28">
      <c r="M26" s="23"/>
      <c r="N26" s="23">
        <v>1</v>
      </c>
      <c r="O26" s="23">
        <v>1</v>
      </c>
      <c r="P26" s="23">
        <v>1</v>
      </c>
      <c r="Q26" s="23"/>
      <c r="R26" s="23"/>
      <c r="S26" s="23"/>
      <c r="T26" s="23"/>
    </row>
    <row r="27" spans="4:28" ht="15.75" thickBot="1">
      <c r="D27" s="23"/>
      <c r="E27" s="23"/>
      <c r="F27" s="23"/>
      <c r="G27" s="23"/>
      <c r="H27" s="23"/>
      <c r="I27" s="23"/>
      <c r="M27" s="23"/>
      <c r="N27" s="23"/>
      <c r="O27" s="23"/>
      <c r="P27" s="23"/>
      <c r="Q27" s="23"/>
      <c r="R27" s="23"/>
      <c r="S27" s="23"/>
      <c r="T27" s="23"/>
    </row>
    <row r="28" spans="4:28" ht="15.75" thickBot="1">
      <c r="D28" s="23"/>
      <c r="E28" s="24" t="s">
        <v>182</v>
      </c>
      <c r="F28" s="25"/>
      <c r="G28" s="23"/>
      <c r="H28" s="23"/>
      <c r="I28" s="23"/>
      <c r="M28" s="23"/>
      <c r="N28" s="23" t="s">
        <v>178</v>
      </c>
      <c r="O28" s="23" t="s">
        <v>179</v>
      </c>
      <c r="P28" s="23" t="s">
        <v>180</v>
      </c>
      <c r="Q28" s="23"/>
      <c r="R28" s="23" t="s">
        <v>165</v>
      </c>
      <c r="S28" s="23"/>
      <c r="T28" s="23"/>
    </row>
    <row r="29" spans="4:28">
      <c r="D29" s="23"/>
      <c r="E29" s="23"/>
      <c r="F29" s="23"/>
      <c r="G29" s="23"/>
      <c r="H29" s="23"/>
      <c r="I29" s="23"/>
      <c r="M29" s="23"/>
      <c r="N29" s="23">
        <v>1</v>
      </c>
      <c r="O29" s="23"/>
      <c r="P29" s="23"/>
      <c r="Q29" s="23"/>
      <c r="R29" s="23">
        <f>N17</f>
        <v>0</v>
      </c>
      <c r="S29" s="27" t="s">
        <v>183</v>
      </c>
      <c r="T29" s="23"/>
    </row>
    <row r="30" spans="4:28">
      <c r="D30" s="27" t="s">
        <v>174</v>
      </c>
      <c r="E30" s="23" t="str">
        <f>IF(N36=1,"PBA","")</f>
        <v/>
      </c>
      <c r="F30" s="23"/>
      <c r="G30" s="23"/>
      <c r="H30" s="23"/>
      <c r="I30" s="23"/>
      <c r="M30" s="23"/>
      <c r="N30" s="23"/>
      <c r="O30" s="23">
        <v>1</v>
      </c>
      <c r="P30" s="23"/>
      <c r="Q30" s="23"/>
      <c r="R30" s="23">
        <f>O17</f>
        <v>0</v>
      </c>
      <c r="S30" s="27" t="s">
        <v>184</v>
      </c>
      <c r="T30" s="23"/>
    </row>
    <row r="31" spans="4:28">
      <c r="D31" s="27" t="s">
        <v>174</v>
      </c>
      <c r="E31" s="23" t="str">
        <f>IF(O36=1,"MBC","")</f>
        <v/>
      </c>
      <c r="F31" s="23"/>
      <c r="G31" s="23"/>
      <c r="H31" s="23"/>
      <c r="I31" s="23"/>
      <c r="M31" s="23"/>
      <c r="N31" s="23"/>
      <c r="O31" s="23"/>
      <c r="P31" s="23">
        <v>1</v>
      </c>
      <c r="Q31" s="23"/>
      <c r="R31" s="23">
        <f>P17</f>
        <v>1</v>
      </c>
      <c r="S31" s="27" t="s">
        <v>185</v>
      </c>
      <c r="T31" s="23"/>
    </row>
    <row r="32" spans="4:28">
      <c r="D32" s="27" t="s">
        <v>174</v>
      </c>
      <c r="E32" s="23" t="str">
        <f>IF(P36=1,"ORBM","")</f>
        <v>ORBM</v>
      </c>
      <c r="F32" s="23"/>
      <c r="G32" s="23"/>
      <c r="H32" s="23"/>
      <c r="I32" s="23"/>
      <c r="M32" s="23"/>
      <c r="N32" s="23">
        <v>1</v>
      </c>
      <c r="O32" s="23"/>
      <c r="P32" s="23"/>
      <c r="Q32" s="23"/>
      <c r="R32" s="23">
        <f>IF(H19="Yes",1,0)</f>
        <v>0</v>
      </c>
      <c r="S32" s="23" t="s">
        <v>186</v>
      </c>
      <c r="T32" s="23"/>
    </row>
    <row r="33" spans="4:20">
      <c r="D33" s="23"/>
      <c r="E33" s="23"/>
      <c r="F33" s="23"/>
      <c r="G33" s="23"/>
      <c r="H33" s="23"/>
      <c r="I33" s="23"/>
      <c r="M33" s="23"/>
      <c r="N33" s="23"/>
      <c r="O33" s="23">
        <v>1</v>
      </c>
      <c r="P33" s="23"/>
      <c r="Q33" s="23"/>
      <c r="R33" s="23">
        <f>IF(H20="Yes",1,0)</f>
        <v>0</v>
      </c>
      <c r="S33" s="23" t="s">
        <v>187</v>
      </c>
      <c r="T33" s="23"/>
    </row>
    <row r="34" spans="4:20">
      <c r="D34" s="26" t="s">
        <v>188</v>
      </c>
      <c r="E34" s="23"/>
      <c r="F34" s="23"/>
      <c r="G34" s="23"/>
      <c r="H34" s="23"/>
      <c r="I34" s="23"/>
      <c r="M34" s="23"/>
      <c r="N34" s="23"/>
      <c r="O34" s="23"/>
      <c r="P34" s="23">
        <v>1</v>
      </c>
      <c r="Q34" s="23"/>
      <c r="R34" s="23">
        <f>IF(H21="Yes",1,0)</f>
        <v>1</v>
      </c>
      <c r="S34" s="23" t="s">
        <v>189</v>
      </c>
      <c r="T34" s="23"/>
    </row>
    <row r="35" spans="4:20">
      <c r="D35" s="23"/>
      <c r="E35" s="23"/>
      <c r="F35" s="23"/>
      <c r="G35" s="23"/>
      <c r="H35" s="23"/>
      <c r="I35" s="23"/>
      <c r="M35" s="23"/>
      <c r="N35" s="23"/>
      <c r="O35" s="23"/>
      <c r="P35" s="23"/>
      <c r="Q35" s="23"/>
      <c r="R35" s="23"/>
      <c r="S35" s="23"/>
      <c r="T35" s="23"/>
    </row>
    <row r="36" spans="4:20">
      <c r="M36" s="26" t="s">
        <v>190</v>
      </c>
      <c r="N36" s="23">
        <f>DPRODUCT($N$28:$R$34,"Answers",N25:N26)</f>
        <v>0</v>
      </c>
      <c r="O36" s="23">
        <f>DPRODUCT($N$28:$R$34,"Answers",O25:O26)</f>
        <v>0</v>
      </c>
      <c r="P36" s="23">
        <f>DPRODUCT($N$28:$R$34,"Answers",P25:P26)</f>
        <v>1</v>
      </c>
      <c r="Q36" s="23"/>
      <c r="R36" s="23"/>
      <c r="S36" s="23"/>
      <c r="T36" s="23"/>
    </row>
    <row r="37" spans="4:20">
      <c r="M37" s="23"/>
      <c r="N37" s="23"/>
      <c r="O37" s="23"/>
      <c r="P37" s="23"/>
      <c r="Q37" s="23"/>
      <c r="R37" s="23"/>
      <c r="S37" s="23"/>
      <c r="T37"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55"/>
  <sheetViews>
    <sheetView zoomScale="61" workbookViewId="0">
      <pane xSplit="1" ySplit="4" topLeftCell="B5" activePane="bottomRight" state="frozen"/>
      <selection pane="topRight" activeCell="B1" sqref="B1"/>
      <selection pane="bottomLeft" activeCell="A3" sqref="A3"/>
      <selection pane="bottomRight" activeCell="N63" sqref="N63"/>
    </sheetView>
  </sheetViews>
  <sheetFormatPr defaultColWidth="8.85546875" defaultRowHeight="15"/>
  <cols>
    <col min="1" max="1" width="37.42578125" bestFit="1" customWidth="1"/>
    <col min="2" max="5" width="9" customWidth="1"/>
    <col min="6" max="7" width="12.42578125" customWidth="1"/>
    <col min="8" max="9" width="12.140625" customWidth="1"/>
    <col min="10" max="15" width="10.85546875" customWidth="1"/>
  </cols>
  <sheetData>
    <row r="1" spans="1:20">
      <c r="A1" s="1" t="s">
        <v>148</v>
      </c>
    </row>
    <row r="3" spans="1:20" ht="14.45" customHeight="1">
      <c r="B3" s="461" t="s">
        <v>42</v>
      </c>
      <c r="C3" s="464"/>
      <c r="D3" s="464"/>
      <c r="E3" s="465"/>
      <c r="F3" s="461" t="s">
        <v>41</v>
      </c>
      <c r="G3" s="465"/>
      <c r="H3" s="466" t="s">
        <v>23</v>
      </c>
      <c r="I3" s="467"/>
      <c r="J3" s="468" t="s">
        <v>8</v>
      </c>
      <c r="K3" s="469"/>
      <c r="L3" s="469"/>
      <c r="M3" s="469"/>
      <c r="N3" s="469"/>
      <c r="O3" s="470"/>
      <c r="P3" s="461" t="s">
        <v>143</v>
      </c>
      <c r="Q3" s="462"/>
      <c r="R3" s="462"/>
      <c r="S3" s="462"/>
      <c r="T3" s="463"/>
    </row>
    <row r="4" spans="1:20" ht="105">
      <c r="A4" s="11" t="s">
        <v>17</v>
      </c>
      <c r="B4" s="13" t="s">
        <v>11</v>
      </c>
      <c r="C4" s="13" t="s">
        <v>43</v>
      </c>
      <c r="D4" s="13" t="s">
        <v>12</v>
      </c>
      <c r="E4" s="13" t="s">
        <v>22</v>
      </c>
      <c r="F4" s="13" t="s">
        <v>9</v>
      </c>
      <c r="G4" s="13" t="s">
        <v>38</v>
      </c>
      <c r="H4" s="13" t="s">
        <v>3</v>
      </c>
      <c r="I4" s="13" t="s">
        <v>33</v>
      </c>
      <c r="J4" s="13" t="s">
        <v>7</v>
      </c>
      <c r="K4" s="13" t="s">
        <v>40</v>
      </c>
      <c r="L4" s="13" t="s">
        <v>117</v>
      </c>
      <c r="M4" s="13" t="s">
        <v>118</v>
      </c>
      <c r="N4" s="13" t="s">
        <v>4</v>
      </c>
      <c r="O4" s="13" t="s">
        <v>119</v>
      </c>
      <c r="P4" s="22" t="s">
        <v>150</v>
      </c>
      <c r="Q4" s="22" t="s">
        <v>144</v>
      </c>
      <c r="R4" s="22" t="s">
        <v>145</v>
      </c>
      <c r="S4" s="22" t="s">
        <v>146</v>
      </c>
      <c r="T4" s="22" t="s">
        <v>147</v>
      </c>
    </row>
    <row r="5" spans="1:20">
      <c r="A5" s="12" t="s">
        <v>0</v>
      </c>
      <c r="B5" s="48"/>
      <c r="C5" s="48" t="s">
        <v>5</v>
      </c>
      <c r="D5" s="48"/>
      <c r="E5" s="4"/>
      <c r="F5" s="4" t="s">
        <v>32</v>
      </c>
      <c r="G5" s="49"/>
      <c r="H5" s="4"/>
      <c r="I5" s="4"/>
      <c r="J5" s="4"/>
      <c r="K5" s="4"/>
      <c r="L5" s="4"/>
      <c r="M5" s="4"/>
      <c r="N5" s="4"/>
      <c r="O5" s="4"/>
      <c r="P5" s="8"/>
      <c r="Q5" s="8"/>
      <c r="R5" s="8"/>
      <c r="S5" s="8"/>
      <c r="T5" s="8"/>
    </row>
    <row r="6" spans="1:20">
      <c r="A6" s="12" t="s">
        <v>21</v>
      </c>
      <c r="B6" s="48"/>
      <c r="C6" s="48" t="s">
        <v>5</v>
      </c>
      <c r="D6" s="48"/>
      <c r="E6" s="4"/>
      <c r="F6" s="4" t="s">
        <v>10</v>
      </c>
      <c r="G6" s="4"/>
      <c r="H6" s="4"/>
      <c r="I6" s="4"/>
      <c r="J6" s="4"/>
      <c r="K6" s="4"/>
      <c r="L6" s="4"/>
      <c r="M6" s="4"/>
      <c r="N6" s="4"/>
      <c r="O6" s="4"/>
      <c r="P6" s="8"/>
      <c r="Q6" s="8"/>
      <c r="R6" s="8"/>
      <c r="S6" s="8"/>
      <c r="T6" s="8"/>
    </row>
    <row r="7" spans="1:20">
      <c r="A7" s="12" t="s">
        <v>14</v>
      </c>
      <c r="B7" s="48" t="s">
        <v>5</v>
      </c>
      <c r="C7" s="48" t="s">
        <v>5</v>
      </c>
      <c r="D7" s="48" t="s">
        <v>5</v>
      </c>
      <c r="E7" s="4"/>
      <c r="F7" s="4" t="s">
        <v>10</v>
      </c>
      <c r="G7" s="4" t="s">
        <v>10</v>
      </c>
      <c r="H7" s="4"/>
      <c r="I7" s="4"/>
      <c r="J7" s="4"/>
      <c r="K7" s="4"/>
      <c r="L7" s="4"/>
      <c r="M7" s="4"/>
      <c r="N7" s="4"/>
      <c r="O7" s="4"/>
      <c r="P7" s="8"/>
      <c r="Q7" s="8"/>
      <c r="R7" s="8"/>
      <c r="S7" s="8"/>
      <c r="T7" s="8"/>
    </row>
    <row r="8" spans="1:20" ht="14.45" customHeight="1">
      <c r="A8" s="12" t="s">
        <v>25</v>
      </c>
      <c r="B8" s="48" t="s">
        <v>5</v>
      </c>
      <c r="C8" s="48" t="s">
        <v>6</v>
      </c>
      <c r="D8" s="48" t="s">
        <v>5</v>
      </c>
      <c r="E8" s="4"/>
      <c r="F8" s="4"/>
      <c r="G8" s="4" t="s">
        <v>10</v>
      </c>
      <c r="H8" s="4"/>
      <c r="I8" s="4"/>
      <c r="J8" s="4"/>
      <c r="K8" s="4"/>
      <c r="L8" s="4"/>
      <c r="M8" s="4"/>
      <c r="N8" s="4"/>
      <c r="O8" s="4"/>
      <c r="P8" s="8"/>
      <c r="Q8" s="8"/>
      <c r="R8" s="8"/>
      <c r="S8" s="8"/>
      <c r="T8" s="8"/>
    </row>
    <row r="9" spans="1:20">
      <c r="A9" s="12" t="s">
        <v>191</v>
      </c>
      <c r="B9" s="48" t="s">
        <v>5</v>
      </c>
      <c r="C9" s="48"/>
      <c r="D9" s="48" t="s">
        <v>5</v>
      </c>
      <c r="E9" s="4"/>
      <c r="F9" s="4"/>
      <c r="G9" s="4"/>
      <c r="H9" s="4"/>
      <c r="I9" s="4"/>
      <c r="J9" s="4" t="s">
        <v>39</v>
      </c>
      <c r="K9" s="4" t="s">
        <v>39</v>
      </c>
      <c r="L9" s="4" t="s">
        <v>39</v>
      </c>
      <c r="M9" s="4"/>
      <c r="N9" s="4" t="s">
        <v>39</v>
      </c>
      <c r="O9" s="4"/>
      <c r="P9" s="8" t="s">
        <v>195</v>
      </c>
      <c r="Q9" s="8"/>
      <c r="R9" s="8"/>
      <c r="S9" s="8"/>
      <c r="T9" s="8"/>
    </row>
    <row r="10" spans="1:20">
      <c r="A10" s="12" t="s">
        <v>15</v>
      </c>
      <c r="B10" s="48" t="s">
        <v>5</v>
      </c>
      <c r="C10" s="4"/>
      <c r="D10" s="4" t="s">
        <v>5</v>
      </c>
      <c r="E10" s="4"/>
      <c r="F10" s="4"/>
      <c r="G10" s="4"/>
      <c r="H10" s="4"/>
      <c r="I10" s="4"/>
      <c r="J10" s="4"/>
      <c r="K10" s="4"/>
      <c r="L10" s="4"/>
      <c r="M10" s="4"/>
      <c r="N10" s="4"/>
      <c r="O10" s="4"/>
      <c r="P10" s="8"/>
      <c r="Q10" s="8"/>
      <c r="R10" s="8"/>
      <c r="S10" s="8"/>
      <c r="T10" s="8"/>
    </row>
    <row r="11" spans="1:20">
      <c r="A11" s="12" t="s">
        <v>327</v>
      </c>
      <c r="B11" s="48" t="s">
        <v>5</v>
      </c>
      <c r="C11" s="4"/>
      <c r="D11" s="4" t="s">
        <v>5</v>
      </c>
      <c r="E11" s="48" t="s">
        <v>5</v>
      </c>
      <c r="F11" s="4"/>
      <c r="G11" s="4"/>
      <c r="H11" s="4"/>
      <c r="I11" s="4"/>
      <c r="J11" s="4"/>
      <c r="K11" s="4"/>
      <c r="L11" s="4"/>
      <c r="M11" s="4"/>
      <c r="N11" s="4"/>
      <c r="O11" s="4"/>
      <c r="P11" s="8"/>
      <c r="Q11" s="8"/>
      <c r="R11" s="8"/>
      <c r="S11" s="8"/>
      <c r="T11" s="8"/>
    </row>
    <row r="13" spans="1:20">
      <c r="A13" s="11" t="s">
        <v>26</v>
      </c>
      <c r="B13" s="4"/>
      <c r="C13" s="4"/>
      <c r="D13" s="4"/>
      <c r="E13" s="4"/>
      <c r="F13" s="4"/>
      <c r="G13" s="4"/>
      <c r="H13" s="4"/>
      <c r="I13" s="4"/>
      <c r="J13" s="4"/>
      <c r="K13" s="4"/>
      <c r="L13" s="4"/>
      <c r="M13" s="4"/>
      <c r="N13" s="4"/>
      <c r="O13" s="4"/>
      <c r="P13" s="8"/>
      <c r="Q13" s="8"/>
      <c r="R13" s="8"/>
      <c r="S13" s="8"/>
      <c r="T13" s="8"/>
    </row>
    <row r="14" spans="1:20">
      <c r="A14" s="12" t="s">
        <v>27</v>
      </c>
      <c r="B14" s="4"/>
      <c r="C14" s="4" t="s">
        <v>5</v>
      </c>
      <c r="D14" s="4"/>
      <c r="E14" s="4"/>
      <c r="F14" s="4" t="s">
        <v>10</v>
      </c>
      <c r="G14" s="4"/>
      <c r="H14" s="4"/>
      <c r="I14" s="4"/>
      <c r="J14" s="4"/>
      <c r="K14" s="4"/>
      <c r="L14" s="4"/>
      <c r="M14" s="4"/>
      <c r="N14" s="4"/>
      <c r="O14" s="4"/>
      <c r="P14" s="8"/>
      <c r="Q14" s="8"/>
      <c r="R14" s="8"/>
      <c r="S14" s="8"/>
      <c r="T14" s="8"/>
    </row>
    <row r="15" spans="1:20">
      <c r="A15" s="12" t="s">
        <v>19</v>
      </c>
      <c r="B15" s="4"/>
      <c r="C15" s="4" t="s">
        <v>5</v>
      </c>
      <c r="D15" s="4" t="s">
        <v>5</v>
      </c>
      <c r="E15" s="4"/>
      <c r="F15" s="4" t="s">
        <v>10</v>
      </c>
      <c r="G15" s="4"/>
      <c r="H15" s="4"/>
      <c r="I15" s="4"/>
      <c r="J15" s="4" t="s">
        <v>39</v>
      </c>
      <c r="K15" s="4" t="s">
        <v>39</v>
      </c>
      <c r="L15" s="4" t="s">
        <v>39</v>
      </c>
      <c r="M15" s="4"/>
      <c r="N15" s="4" t="s">
        <v>39</v>
      </c>
      <c r="O15" s="4" t="s">
        <v>39</v>
      </c>
      <c r="P15" s="8"/>
      <c r="Q15" s="8"/>
      <c r="R15" s="8"/>
      <c r="S15" s="8"/>
      <c r="T15" s="8"/>
    </row>
    <row r="16" spans="1:20">
      <c r="A16" s="12" t="s">
        <v>320</v>
      </c>
      <c r="B16" s="4"/>
      <c r="C16" s="4"/>
      <c r="D16" s="4"/>
      <c r="E16" s="4"/>
      <c r="F16" s="4"/>
      <c r="G16" s="4"/>
      <c r="H16" s="4" t="s">
        <v>39</v>
      </c>
      <c r="I16" s="4" t="s">
        <v>39</v>
      </c>
      <c r="J16" s="4"/>
      <c r="K16" s="4"/>
      <c r="L16" s="4"/>
      <c r="M16" s="4"/>
      <c r="N16" s="4"/>
      <c r="O16" s="4"/>
      <c r="P16" s="8"/>
      <c r="Q16" s="8"/>
      <c r="R16" s="8"/>
      <c r="S16" s="8"/>
      <c r="T16" s="8"/>
    </row>
    <row r="17" spans="1:20">
      <c r="A17" s="12" t="s">
        <v>321</v>
      </c>
      <c r="B17" s="4"/>
      <c r="C17" s="4"/>
      <c r="D17" s="4"/>
      <c r="E17" s="4"/>
      <c r="F17" s="4"/>
      <c r="G17" s="4"/>
      <c r="H17" s="4" t="s">
        <v>39</v>
      </c>
      <c r="I17" s="4" t="s">
        <v>39</v>
      </c>
      <c r="J17" s="4"/>
      <c r="K17" s="4"/>
      <c r="L17" s="4"/>
      <c r="M17" s="4"/>
      <c r="N17" s="4"/>
      <c r="O17" s="4"/>
      <c r="P17" s="8"/>
      <c r="Q17" s="8"/>
      <c r="R17" s="8"/>
      <c r="S17" s="8"/>
      <c r="T17" s="8"/>
    </row>
    <row r="18" spans="1:20">
      <c r="A18" s="12" t="s">
        <v>18</v>
      </c>
      <c r="B18" s="4"/>
      <c r="C18" s="4"/>
      <c r="D18" s="4"/>
      <c r="E18" s="4"/>
      <c r="F18" s="4"/>
      <c r="G18" s="4"/>
      <c r="H18" s="4" t="s">
        <v>39</v>
      </c>
      <c r="I18" s="4" t="s">
        <v>39</v>
      </c>
      <c r="J18" s="4"/>
      <c r="K18" s="4"/>
      <c r="L18" s="4"/>
      <c r="M18" s="4"/>
      <c r="N18" s="4"/>
      <c r="O18" s="4"/>
      <c r="P18" s="8"/>
      <c r="Q18" s="8"/>
      <c r="R18" s="8"/>
      <c r="S18" s="8"/>
      <c r="T18" s="8"/>
    </row>
    <row r="19" spans="1:20">
      <c r="A19" s="12" t="s">
        <v>322</v>
      </c>
      <c r="B19" s="4"/>
      <c r="C19" s="4"/>
      <c r="D19" s="4"/>
      <c r="E19" s="4"/>
      <c r="F19" s="4"/>
      <c r="G19" s="4"/>
      <c r="H19" s="4" t="s">
        <v>39</v>
      </c>
      <c r="I19" s="4" t="s">
        <v>39</v>
      </c>
      <c r="J19" s="4"/>
      <c r="K19" s="4"/>
      <c r="L19" s="4"/>
      <c r="M19" s="4"/>
      <c r="N19" s="4"/>
      <c r="O19" s="4"/>
      <c r="P19" s="8"/>
      <c r="Q19" s="8"/>
      <c r="R19" s="8"/>
      <c r="S19" s="8"/>
      <c r="T19" s="8"/>
    </row>
    <row r="20" spans="1:20">
      <c r="A20" s="12" t="s">
        <v>323</v>
      </c>
      <c r="B20" s="4"/>
      <c r="C20" s="4"/>
      <c r="D20" s="4"/>
      <c r="E20" s="4"/>
      <c r="F20" s="4"/>
      <c r="G20" s="4"/>
      <c r="H20" s="4"/>
      <c r="I20" s="4"/>
      <c r="J20" s="4"/>
      <c r="K20" s="4"/>
      <c r="L20" s="4"/>
      <c r="M20" s="4"/>
      <c r="N20" s="4"/>
      <c r="O20" s="4" t="s">
        <v>39</v>
      </c>
      <c r="P20" s="8"/>
      <c r="Q20" s="8"/>
      <c r="R20" s="8"/>
      <c r="S20" s="8"/>
      <c r="T20" s="8"/>
    </row>
    <row r="21" spans="1:20">
      <c r="A21" s="12" t="s">
        <v>29</v>
      </c>
      <c r="B21" s="4"/>
      <c r="C21" s="4"/>
      <c r="D21" s="4"/>
      <c r="E21" s="4"/>
      <c r="F21" s="4"/>
      <c r="G21" s="4"/>
      <c r="H21" s="4"/>
      <c r="I21" s="4"/>
      <c r="J21" s="4" t="s">
        <v>39</v>
      </c>
      <c r="K21" s="4" t="s">
        <v>39</v>
      </c>
      <c r="L21" s="4" t="s">
        <v>39</v>
      </c>
      <c r="M21" s="4" t="s">
        <v>39</v>
      </c>
      <c r="N21" s="4"/>
      <c r="O21" s="4"/>
      <c r="P21" s="8"/>
      <c r="Q21" s="8"/>
      <c r="R21" s="8"/>
      <c r="S21" s="8"/>
      <c r="T21" s="8"/>
    </row>
    <row r="22" spans="1:20">
      <c r="A22" s="20"/>
      <c r="B22" s="50"/>
      <c r="C22" s="50"/>
      <c r="D22" s="50"/>
      <c r="E22" s="50"/>
      <c r="F22" s="50"/>
      <c r="G22" s="50"/>
      <c r="H22" s="50"/>
      <c r="I22" s="50"/>
      <c r="J22" s="50"/>
      <c r="K22" s="50"/>
      <c r="L22" s="50"/>
      <c r="M22" s="50"/>
      <c r="N22" s="50"/>
      <c r="O22" s="50"/>
      <c r="P22" s="19"/>
      <c r="Q22" s="19"/>
      <c r="R22" s="19"/>
      <c r="S22" s="19"/>
      <c r="T22" s="19"/>
    </row>
    <row r="23" spans="1:20" hidden="1">
      <c r="A23" s="1" t="s">
        <v>149</v>
      </c>
    </row>
    <row r="24" spans="1:20" hidden="1">
      <c r="B24" s="461" t="s">
        <v>42</v>
      </c>
      <c r="C24" s="464"/>
      <c r="D24" s="464"/>
      <c r="E24" s="465"/>
      <c r="F24" s="461" t="s">
        <v>41</v>
      </c>
      <c r="G24" s="465"/>
      <c r="H24" s="466" t="s">
        <v>23</v>
      </c>
      <c r="I24" s="467"/>
      <c r="J24" s="468" t="s">
        <v>8</v>
      </c>
      <c r="K24" s="469"/>
      <c r="L24" s="469"/>
      <c r="M24" s="469"/>
      <c r="N24" s="469"/>
      <c r="O24" s="469"/>
      <c r="P24" s="461" t="s">
        <v>143</v>
      </c>
      <c r="Q24" s="462"/>
      <c r="R24" s="462"/>
      <c r="S24" s="462"/>
      <c r="T24" s="463"/>
    </row>
    <row r="25" spans="1:20" ht="90" hidden="1">
      <c r="A25" s="11" t="s">
        <v>17</v>
      </c>
      <c r="B25" s="13" t="s">
        <v>11</v>
      </c>
      <c r="C25" s="13" t="s">
        <v>43</v>
      </c>
      <c r="D25" s="13" t="s">
        <v>12</v>
      </c>
      <c r="E25" s="13" t="s">
        <v>22</v>
      </c>
      <c r="F25" s="13" t="s">
        <v>9</v>
      </c>
      <c r="G25" s="13" t="s">
        <v>38</v>
      </c>
      <c r="H25" s="13" t="s">
        <v>3</v>
      </c>
      <c r="I25" s="13" t="s">
        <v>33</v>
      </c>
      <c r="J25" s="13" t="s">
        <v>7</v>
      </c>
      <c r="K25" s="13" t="s">
        <v>40</v>
      </c>
      <c r="L25" s="13" t="s">
        <v>117</v>
      </c>
      <c r="M25" s="13" t="s">
        <v>118</v>
      </c>
      <c r="N25" s="13" t="s">
        <v>4</v>
      </c>
      <c r="O25" s="13" t="s">
        <v>119</v>
      </c>
      <c r="P25" s="22" t="s">
        <v>150</v>
      </c>
      <c r="Q25" s="22" t="s">
        <v>144</v>
      </c>
      <c r="R25" s="22" t="s">
        <v>145</v>
      </c>
      <c r="S25" s="22" t="s">
        <v>146</v>
      </c>
      <c r="T25" s="22" t="s">
        <v>147</v>
      </c>
    </row>
    <row r="26" spans="1:20" hidden="1">
      <c r="A26" s="12" t="s">
        <v>0</v>
      </c>
      <c r="B26" s="48"/>
      <c r="C26" s="48" t="s">
        <v>5</v>
      </c>
      <c r="D26" s="48"/>
      <c r="E26" s="4"/>
      <c r="F26" s="4" t="s">
        <v>32</v>
      </c>
      <c r="G26" s="49"/>
      <c r="H26" s="4"/>
      <c r="I26" s="4"/>
      <c r="J26" s="4"/>
      <c r="K26" s="4"/>
      <c r="L26" s="4"/>
      <c r="M26" s="4"/>
      <c r="N26" s="4"/>
      <c r="O26" s="4"/>
      <c r="P26" s="8"/>
      <c r="Q26" s="8"/>
      <c r="R26" s="8" t="s">
        <v>139</v>
      </c>
      <c r="S26" s="8" t="s">
        <v>6</v>
      </c>
      <c r="T26" s="8"/>
    </row>
    <row r="27" spans="1:20" hidden="1">
      <c r="A27" s="12" t="s">
        <v>21</v>
      </c>
      <c r="B27" s="48"/>
      <c r="C27" s="48" t="s">
        <v>5</v>
      </c>
      <c r="D27" s="48"/>
      <c r="E27" s="4"/>
      <c r="F27" s="4" t="s">
        <v>10</v>
      </c>
      <c r="G27" s="4"/>
      <c r="H27" s="4"/>
      <c r="I27" s="4"/>
      <c r="J27" s="4"/>
      <c r="K27" s="4"/>
      <c r="L27" s="4"/>
      <c r="M27" s="4"/>
      <c r="N27" s="4"/>
      <c r="O27" s="4"/>
      <c r="P27" s="8"/>
      <c r="Q27" s="8"/>
      <c r="R27" s="8" t="s">
        <v>139</v>
      </c>
      <c r="S27" s="8" t="s">
        <v>6</v>
      </c>
      <c r="T27" s="8"/>
    </row>
    <row r="28" spans="1:20" hidden="1">
      <c r="A28" s="12" t="s">
        <v>14</v>
      </c>
      <c r="B28" s="48" t="s">
        <v>5</v>
      </c>
      <c r="C28" s="48" t="s">
        <v>5</v>
      </c>
      <c r="D28" s="48" t="s">
        <v>5</v>
      </c>
      <c r="E28" s="4"/>
      <c r="F28" s="4" t="s">
        <v>10</v>
      </c>
      <c r="G28" s="4" t="s">
        <v>10</v>
      </c>
      <c r="H28" s="4"/>
      <c r="I28" s="4"/>
      <c r="J28" s="4"/>
      <c r="K28" s="4"/>
      <c r="L28" s="4"/>
      <c r="M28" s="4"/>
      <c r="N28" s="4"/>
      <c r="O28" s="4"/>
      <c r="P28" s="8"/>
      <c r="Q28" s="8"/>
      <c r="R28" s="8" t="s">
        <v>151</v>
      </c>
      <c r="S28" s="8"/>
      <c r="T28" s="8"/>
    </row>
    <row r="29" spans="1:20" ht="14.45" hidden="1" customHeight="1">
      <c r="A29" s="12" t="s">
        <v>25</v>
      </c>
      <c r="B29" s="48" t="s">
        <v>5</v>
      </c>
      <c r="C29" s="48" t="s">
        <v>6</v>
      </c>
      <c r="D29" s="48" t="s">
        <v>5</v>
      </c>
      <c r="E29" s="4"/>
      <c r="F29" s="4"/>
      <c r="G29" s="4" t="s">
        <v>10</v>
      </c>
      <c r="H29" s="4"/>
      <c r="I29" s="4"/>
      <c r="J29" s="4"/>
      <c r="K29" s="4"/>
      <c r="L29" s="4"/>
      <c r="M29" s="4"/>
      <c r="N29" s="4"/>
      <c r="O29" s="4"/>
      <c r="P29" s="8"/>
      <c r="Q29" s="8"/>
      <c r="R29" s="8"/>
      <c r="S29" s="8"/>
      <c r="T29" s="8"/>
    </row>
    <row r="30" spans="1:20" hidden="1">
      <c r="A30" s="12" t="s">
        <v>108</v>
      </c>
      <c r="B30" s="48" t="s">
        <v>5</v>
      </c>
      <c r="C30" s="48"/>
      <c r="D30" s="48" t="s">
        <v>5</v>
      </c>
      <c r="E30" s="4"/>
      <c r="F30" s="4"/>
      <c r="G30" s="4"/>
      <c r="H30" s="4"/>
      <c r="I30" s="4"/>
      <c r="J30" s="4"/>
      <c r="K30" s="4"/>
      <c r="L30" s="4"/>
      <c r="M30" s="4"/>
      <c r="N30" s="4"/>
      <c r="O30" s="4"/>
      <c r="P30" s="4" t="s">
        <v>39</v>
      </c>
      <c r="Q30" s="8"/>
      <c r="R30" s="8"/>
      <c r="S30" s="8"/>
      <c r="T30" s="8"/>
    </row>
    <row r="31" spans="1:20" hidden="1">
      <c r="A31" s="12" t="s">
        <v>15</v>
      </c>
      <c r="B31" s="48" t="s">
        <v>5</v>
      </c>
      <c r="C31" s="4"/>
      <c r="D31" s="4" t="s">
        <v>5</v>
      </c>
      <c r="E31" s="4"/>
      <c r="F31" s="4"/>
      <c r="G31" s="4"/>
      <c r="H31" s="4"/>
      <c r="I31" s="4"/>
      <c r="J31" s="4"/>
      <c r="K31" s="4"/>
      <c r="L31" s="4"/>
      <c r="M31" s="4"/>
      <c r="N31" s="4"/>
      <c r="O31" s="4"/>
      <c r="P31" s="4" t="s">
        <v>39</v>
      </c>
      <c r="Q31" s="8"/>
      <c r="R31" s="8"/>
      <c r="S31" s="8"/>
      <c r="T31" s="8"/>
    </row>
    <row r="32" spans="1:20" hidden="1">
      <c r="A32" s="12" t="s">
        <v>16</v>
      </c>
      <c r="B32" s="48" t="s">
        <v>5</v>
      </c>
      <c r="C32" s="4"/>
      <c r="D32" s="4" t="s">
        <v>5</v>
      </c>
      <c r="E32" s="48" t="s">
        <v>5</v>
      </c>
      <c r="F32" s="4"/>
      <c r="G32" s="4"/>
      <c r="H32" s="4"/>
      <c r="I32" s="4"/>
      <c r="J32" s="4"/>
      <c r="K32" s="4"/>
      <c r="L32" s="4"/>
      <c r="M32" s="4"/>
      <c r="N32" s="4"/>
      <c r="O32" s="4"/>
      <c r="P32" s="8"/>
      <c r="Q32" s="8"/>
      <c r="R32" s="8"/>
      <c r="S32" s="8"/>
      <c r="T32" s="8"/>
    </row>
    <row r="33" spans="1:20" hidden="1">
      <c r="B33" s="19"/>
      <c r="C33" s="19"/>
      <c r="D33" s="19"/>
      <c r="E33" s="19"/>
      <c r="F33" s="19"/>
      <c r="G33" s="19"/>
      <c r="H33" s="19"/>
      <c r="I33" s="19"/>
      <c r="J33" s="19"/>
      <c r="K33" s="19"/>
      <c r="L33" s="19"/>
      <c r="M33" s="19"/>
      <c r="N33" s="19"/>
      <c r="O33" s="19"/>
      <c r="P33" s="19"/>
      <c r="Q33" s="19"/>
      <c r="R33" s="19"/>
      <c r="S33" s="19"/>
      <c r="T33" s="19"/>
    </row>
    <row r="34" spans="1:20" hidden="1">
      <c r="A34" s="11" t="s">
        <v>26</v>
      </c>
      <c r="B34" s="4"/>
      <c r="C34" s="4"/>
      <c r="D34" s="4"/>
      <c r="E34" s="4"/>
      <c r="F34" s="4"/>
      <c r="G34" s="4"/>
      <c r="H34" s="4"/>
      <c r="I34" s="4"/>
      <c r="J34" s="4"/>
      <c r="K34" s="4"/>
      <c r="L34" s="4"/>
      <c r="M34" s="4"/>
      <c r="N34" s="4"/>
      <c r="O34" s="4"/>
      <c r="P34" s="8"/>
      <c r="Q34" s="8"/>
      <c r="R34" s="8"/>
      <c r="S34" s="8"/>
      <c r="T34" s="8"/>
    </row>
    <row r="35" spans="1:20" hidden="1">
      <c r="A35" s="12" t="s">
        <v>28</v>
      </c>
      <c r="B35" s="4"/>
      <c r="C35" s="4"/>
      <c r="D35" s="4"/>
      <c r="E35" s="4"/>
      <c r="F35" s="4"/>
      <c r="G35" s="4"/>
      <c r="H35" s="4"/>
      <c r="I35" s="4"/>
      <c r="J35" s="4" t="s">
        <v>39</v>
      </c>
      <c r="K35" s="4" t="s">
        <v>39</v>
      </c>
      <c r="L35" s="4" t="s">
        <v>39</v>
      </c>
      <c r="M35" s="4"/>
      <c r="N35" s="4" t="s">
        <v>39</v>
      </c>
      <c r="O35" s="4" t="s">
        <v>120</v>
      </c>
      <c r="P35" s="4" t="s">
        <v>39</v>
      </c>
      <c r="Q35" s="8"/>
      <c r="R35" s="8"/>
      <c r="S35" s="8"/>
      <c r="T35" s="8"/>
    </row>
    <row r="36" spans="1:20" hidden="1">
      <c r="A36" s="12" t="s">
        <v>29</v>
      </c>
      <c r="B36" s="4"/>
      <c r="C36" s="4"/>
      <c r="D36" s="4"/>
      <c r="E36" s="4"/>
      <c r="F36" s="4"/>
      <c r="G36" s="4"/>
      <c r="H36" s="4"/>
      <c r="I36" s="4"/>
      <c r="J36" s="4" t="s">
        <v>39</v>
      </c>
      <c r="K36" s="4" t="s">
        <v>39</v>
      </c>
      <c r="L36" s="4" t="s">
        <v>39</v>
      </c>
      <c r="M36" s="4" t="s">
        <v>39</v>
      </c>
      <c r="N36" s="4"/>
      <c r="O36" s="4"/>
      <c r="P36" s="8"/>
      <c r="Q36" s="8"/>
      <c r="R36" s="8"/>
      <c r="S36" s="8"/>
      <c r="T36" s="8"/>
    </row>
    <row r="37" spans="1:20" hidden="1">
      <c r="A37" s="12" t="s">
        <v>18</v>
      </c>
      <c r="B37" s="4"/>
      <c r="C37" s="4"/>
      <c r="D37" s="4"/>
      <c r="E37" s="4"/>
      <c r="F37" s="4"/>
      <c r="G37" s="4"/>
      <c r="H37" s="4" t="s">
        <v>39</v>
      </c>
      <c r="I37" s="4" t="s">
        <v>39</v>
      </c>
      <c r="J37" s="4"/>
      <c r="K37" s="4"/>
      <c r="L37" s="4"/>
      <c r="M37" s="4"/>
      <c r="N37" s="4"/>
      <c r="O37" s="4"/>
      <c r="P37" s="8"/>
      <c r="Q37" s="8"/>
      <c r="R37" s="8"/>
      <c r="S37" s="8"/>
      <c r="T37" s="8"/>
    </row>
    <row r="38" spans="1:20" hidden="1">
      <c r="A38" s="12" t="s">
        <v>30</v>
      </c>
      <c r="B38" s="4"/>
      <c r="C38" s="4"/>
      <c r="D38" s="4"/>
      <c r="E38" s="4"/>
      <c r="F38" s="4"/>
      <c r="G38" s="4"/>
      <c r="H38" s="4" t="s">
        <v>39</v>
      </c>
      <c r="I38" s="4" t="s">
        <v>39</v>
      </c>
      <c r="J38" s="4"/>
      <c r="K38" s="4"/>
      <c r="L38" s="4"/>
      <c r="M38" s="4"/>
      <c r="N38" s="4"/>
      <c r="O38" s="4"/>
      <c r="P38" s="8"/>
      <c r="Q38" s="8"/>
      <c r="R38" s="8"/>
      <c r="S38" s="8"/>
      <c r="T38" s="8"/>
    </row>
    <row r="39" spans="1:20" hidden="1">
      <c r="A39" s="12" t="s">
        <v>31</v>
      </c>
      <c r="B39" s="4"/>
      <c r="C39" s="4"/>
      <c r="D39" s="4"/>
      <c r="E39" s="4"/>
      <c r="F39" s="4"/>
      <c r="G39" s="4"/>
      <c r="H39" s="4" t="s">
        <v>39</v>
      </c>
      <c r="I39" s="4" t="s">
        <v>39</v>
      </c>
      <c r="J39" s="4"/>
      <c r="K39" s="4"/>
      <c r="L39" s="4"/>
      <c r="M39" s="4"/>
      <c r="N39" s="4"/>
      <c r="O39" s="4"/>
      <c r="P39" s="8"/>
      <c r="Q39" s="8"/>
      <c r="R39" s="8"/>
      <c r="S39" s="8"/>
      <c r="T39" s="8"/>
    </row>
    <row r="40" spans="1:20" hidden="1">
      <c r="A40" s="12" t="s">
        <v>27</v>
      </c>
      <c r="B40" s="4"/>
      <c r="C40" s="4" t="s">
        <v>5</v>
      </c>
      <c r="D40" s="4"/>
      <c r="E40" s="4"/>
      <c r="F40" s="4" t="s">
        <v>10</v>
      </c>
      <c r="G40" s="4"/>
      <c r="H40" s="4"/>
      <c r="I40" s="4"/>
      <c r="J40" s="4"/>
      <c r="K40" s="4"/>
      <c r="L40" s="4"/>
      <c r="M40" s="4"/>
      <c r="N40" s="4"/>
      <c r="O40" s="4"/>
      <c r="P40" s="8"/>
      <c r="Q40" s="8"/>
      <c r="R40" s="8"/>
      <c r="S40" s="8"/>
      <c r="T40" s="8"/>
    </row>
    <row r="41" spans="1:20" hidden="1">
      <c r="A41" s="12" t="s">
        <v>19</v>
      </c>
      <c r="B41" s="4"/>
      <c r="C41" s="4" t="s">
        <v>5</v>
      </c>
      <c r="D41" s="4" t="s">
        <v>5</v>
      </c>
      <c r="E41" s="4"/>
      <c r="F41" s="4" t="s">
        <v>10</v>
      </c>
      <c r="G41" s="4"/>
      <c r="H41" s="4"/>
      <c r="I41" s="4"/>
      <c r="J41" s="4" t="s">
        <v>39</v>
      </c>
      <c r="K41" s="4" t="s">
        <v>39</v>
      </c>
      <c r="L41" s="4" t="s">
        <v>39</v>
      </c>
      <c r="M41" s="4"/>
      <c r="N41" s="4" t="s">
        <v>39</v>
      </c>
      <c r="O41" s="4" t="s">
        <v>39</v>
      </c>
      <c r="P41" s="8"/>
      <c r="Q41" s="8"/>
      <c r="R41" s="8"/>
      <c r="S41" s="8"/>
      <c r="T41" s="8"/>
    </row>
    <row r="42" spans="1:20" hidden="1"/>
    <row r="43" spans="1:20" hidden="1"/>
    <row r="44" spans="1:20" hidden="1">
      <c r="A44" s="20" t="s">
        <v>121</v>
      </c>
      <c r="G44" t="s">
        <v>122</v>
      </c>
      <c r="K44" t="s">
        <v>123</v>
      </c>
      <c r="M44" t="s">
        <v>124</v>
      </c>
    </row>
    <row r="45" spans="1:20" hidden="1">
      <c r="A45" s="21" t="s">
        <v>125</v>
      </c>
      <c r="G45" t="s">
        <v>126</v>
      </c>
    </row>
    <row r="46" spans="1:20" hidden="1">
      <c r="A46" s="21" t="s">
        <v>127</v>
      </c>
      <c r="G46" t="s">
        <v>128</v>
      </c>
    </row>
    <row r="47" spans="1:20" hidden="1">
      <c r="A47" s="21" t="s">
        <v>129</v>
      </c>
      <c r="G47" t="s">
        <v>130</v>
      </c>
    </row>
    <row r="48" spans="1:20" hidden="1">
      <c r="A48" s="21" t="s">
        <v>131</v>
      </c>
    </row>
    <row r="49" spans="1:7" hidden="1">
      <c r="G49" t="s">
        <v>132</v>
      </c>
    </row>
    <row r="50" spans="1:7" hidden="1"/>
    <row r="51" spans="1:7" hidden="1">
      <c r="G51" t="s">
        <v>133</v>
      </c>
    </row>
    <row r="52" spans="1:7" hidden="1"/>
    <row r="55" spans="1:7" hidden="1">
      <c r="A55" t="s">
        <v>134</v>
      </c>
    </row>
  </sheetData>
  <mergeCells count="10">
    <mergeCell ref="P3:T3"/>
    <mergeCell ref="P24:T24"/>
    <mergeCell ref="B24:E24"/>
    <mergeCell ref="F24:G24"/>
    <mergeCell ref="H24:I24"/>
    <mergeCell ref="J24:O24"/>
    <mergeCell ref="B3:E3"/>
    <mergeCell ref="F3:G3"/>
    <mergeCell ref="H3:I3"/>
    <mergeCell ref="J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Terms of Use</vt:lpstr>
      <vt:lpstr>Instructions</vt:lpstr>
      <vt:lpstr>Population Estimator Tool</vt:lpstr>
      <vt:lpstr>Market Adjustment Tool</vt:lpstr>
      <vt:lpstr>Therapy Impact Modeling Tool</vt:lpstr>
      <vt:lpstr>Sol'n Priorit Tool</vt:lpstr>
      <vt:lpstr>delta</vt:lpstr>
      <vt:lpstr>dult</vt:lpstr>
      <vt:lpstr>Instructions!Print_Area</vt:lpstr>
      <vt:lpstr>'Population Estimator Tool'!Print_Area</vt:lpstr>
      <vt:lpstr>'Sol''n Priorit Tool'!Print_Area</vt:lpstr>
      <vt:lpstr>'Terms of Use'!Print_Area</vt:lpstr>
      <vt:lpstr>'Therapy Impact Modeling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Rollmann</dc:creator>
  <cp:lastModifiedBy>Phares, Sharon</cp:lastModifiedBy>
  <cp:lastPrinted>2021-12-02T22:33:05Z</cp:lastPrinted>
  <dcterms:created xsi:type="dcterms:W3CDTF">2019-03-21T14:28:31Z</dcterms:created>
  <dcterms:modified xsi:type="dcterms:W3CDTF">2025-06-19T17:47:05Z</dcterms:modified>
</cp:coreProperties>
</file>