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showInkAnnotation="0" codeName="ThisWorkbook" autoCompressPictures="0" defaultThemeVersion="166925"/>
  <mc:AlternateContent xmlns:mc="http://schemas.openxmlformats.org/markup-compatibility/2006">
    <mc:Choice Requires="x15">
      <x15ac:absPath xmlns:x15ac="http://schemas.microsoft.com/office/spreadsheetml/2010/11/ac" url="/Users/ericnorman/Dropbox/Redesign Concepts 2022-23/Final content/Resources/"/>
    </mc:Choice>
  </mc:AlternateContent>
  <xr:revisionPtr revIDLastSave="0" documentId="13_ncr:1_{481FF228-214B-CC41-A33A-A3FD1095801D}" xr6:coauthVersionLast="47" xr6:coauthVersionMax="47" xr10:uidLastSave="{00000000-0000-0000-0000-000000000000}"/>
  <workbookProtection workbookAlgorithmName="SHA-512" workbookHashValue="uKya9bxaw1fdaQG2DGRjOm3AlVyTyRoyCpx9UPy9XwLBCs9hblPx2L6TzvZ4/XV5LNTopTqQEsuLIRsmv6nfmA==" workbookSaltValue="vohElni1gwO+TLu9e28IYQ==" workbookSpinCount="100000" lockStructure="1"/>
  <bookViews>
    <workbookView xWindow="-37240" yWindow="0" windowWidth="28120" windowHeight="21600" activeTab="2" xr2:uid="{00000000-000D-0000-FFFF-FFFF00000000}"/>
  </bookViews>
  <sheets>
    <sheet name="Terms of Use" sheetId="37" r:id="rId1"/>
    <sheet name="Instructions" sheetId="36" r:id="rId2"/>
    <sheet name="Pipeline Estimator Tool" sheetId="27" r:id="rId3"/>
    <sheet name="Hidden Pipeline Data" sheetId="38" state="hidden" r:id="rId4"/>
    <sheet name="Hidden Drop Down Lists" sheetId="3" state="hidden" r:id="rId5"/>
    <sheet name="Hidden Logic page" sheetId="23" state="hidden" r:id="rId6"/>
  </sheets>
  <definedNames>
    <definedName name="delta">#REF!</definedName>
    <definedName name="drop1">#REF!</definedName>
    <definedName name="drop10">#REF!</definedName>
    <definedName name="drop11">#REF!</definedName>
    <definedName name="drop2">#REF!</definedName>
    <definedName name="drop3">#REF!</definedName>
    <definedName name="drop4">#REF!</definedName>
    <definedName name="drop5">#REF!</definedName>
    <definedName name="drop6">#REF!</definedName>
    <definedName name="drop7">#REF!</definedName>
    <definedName name="drop8">#REF!</definedName>
    <definedName name="drop9">#REF!</definedName>
    <definedName name="_xlnm.Print_Area" localSheetId="1">Instructions!$A$1:$O$55</definedName>
    <definedName name="_xlnm.Print_Area" localSheetId="2">'Pipeline Estimator Tool'!$A$1:$O$65</definedName>
  </definedNames>
  <calcPr calcId="191028"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3" l="1"/>
  <c r="C30" i="3" l="1"/>
  <c r="A32" i="27"/>
  <c r="A31" i="27"/>
  <c r="A30" i="27"/>
  <c r="B29" i="27"/>
  <c r="B54" i="27" s="1"/>
  <c r="A27" i="27"/>
  <c r="C32" i="3"/>
  <c r="B27" i="27" s="1"/>
  <c r="B32" i="3"/>
  <c r="C2" i="38"/>
  <c r="D2" i="38" s="1"/>
  <c r="E2" i="38" s="1"/>
  <c r="F2" i="38" s="1"/>
  <c r="G2" i="38" s="1"/>
  <c r="H2" i="38" s="1"/>
  <c r="I2" i="38" s="1"/>
  <c r="J2" i="38" s="1"/>
  <c r="K2" i="38" s="1"/>
  <c r="L2" i="38" s="1"/>
  <c r="M2" i="38" s="1"/>
  <c r="N2" i="38" s="1"/>
  <c r="O2" i="38" s="1"/>
  <c r="D14" i="38"/>
  <c r="E14" i="38"/>
  <c r="F14" i="38"/>
  <c r="G14" i="38"/>
  <c r="H14" i="38"/>
  <c r="I14" i="38"/>
  <c r="J14" i="38"/>
  <c r="K14" i="38"/>
  <c r="L14" i="38"/>
  <c r="M14" i="38"/>
  <c r="N14" i="38"/>
  <c r="O14" i="38"/>
  <c r="D15" i="38"/>
  <c r="E15" i="38"/>
  <c r="F15" i="38"/>
  <c r="G15" i="38"/>
  <c r="H15" i="38"/>
  <c r="I15" i="38"/>
  <c r="J15" i="38"/>
  <c r="K15" i="38"/>
  <c r="L15" i="38"/>
  <c r="M15" i="38"/>
  <c r="N15" i="38"/>
  <c r="O15" i="38"/>
  <c r="D16" i="38"/>
  <c r="E16" i="38"/>
  <c r="F16" i="38"/>
  <c r="G16" i="38"/>
  <c r="H16" i="38"/>
  <c r="I16" i="38"/>
  <c r="J16" i="38"/>
  <c r="K16" i="38"/>
  <c r="L16" i="38"/>
  <c r="M16" i="38"/>
  <c r="N16" i="38"/>
  <c r="O16" i="38"/>
  <c r="C15" i="38"/>
  <c r="C16" i="38"/>
  <c r="C14" i="38"/>
  <c r="R34" i="23"/>
  <c r="R33" i="23"/>
  <c r="R32" i="23"/>
  <c r="R15" i="23"/>
  <c r="R14" i="23"/>
  <c r="R13" i="23"/>
  <c r="P17" i="23"/>
  <c r="E21" i="23" s="1"/>
  <c r="R12" i="23"/>
  <c r="O17" i="23" s="1"/>
  <c r="R11" i="23"/>
  <c r="N17" i="23"/>
  <c r="E19" i="23" s="1"/>
  <c r="R31" i="23" l="1"/>
  <c r="P36" i="23" s="1"/>
  <c r="E32" i="23" s="1"/>
  <c r="B32" i="27"/>
  <c r="C29" i="27"/>
  <c r="C30" i="27" s="1"/>
  <c r="R30" i="23"/>
  <c r="O36" i="23" s="1"/>
  <c r="E31" i="23" s="1"/>
  <c r="E20" i="23"/>
  <c r="B31" i="27"/>
  <c r="B30" i="27"/>
  <c r="R29" i="23"/>
  <c r="N36" i="23" s="1"/>
  <c r="E30" i="23" s="1"/>
  <c r="B55" i="27" l="1"/>
  <c r="B56" i="27" s="1"/>
  <c r="C32" i="27"/>
  <c r="C31" i="27"/>
  <c r="C54" i="27"/>
  <c r="D29" i="27"/>
  <c r="D32" i="27" s="1"/>
  <c r="C55" i="27" l="1"/>
  <c r="C56" i="27" s="1"/>
  <c r="D31" i="27"/>
  <c r="D30" i="27"/>
  <c r="E29" i="27"/>
  <c r="E32" i="27" s="1"/>
  <c r="D54" i="27"/>
  <c r="D55" i="27" l="1"/>
  <c r="D56" i="27" s="1"/>
  <c r="F29" i="27"/>
  <c r="F32" i="27" s="1"/>
  <c r="E31" i="27"/>
  <c r="E30" i="27"/>
  <c r="E54" i="27"/>
  <c r="E55" i="27" l="1"/>
  <c r="E56" i="27" s="1"/>
  <c r="G29" i="27"/>
  <c r="H29" i="27" s="1"/>
  <c r="F30" i="27"/>
  <c r="F31" i="27"/>
  <c r="F54" i="27"/>
  <c r="F55" i="27" l="1"/>
  <c r="F56" i="27" s="1"/>
  <c r="G30" i="27"/>
  <c r="G54" i="27"/>
  <c r="G32" i="27"/>
  <c r="G31" i="27"/>
  <c r="H54" i="27"/>
  <c r="H31" i="27"/>
  <c r="H30" i="27"/>
  <c r="I29" i="27"/>
  <c r="H32" i="27"/>
  <c r="H55" i="27" l="1"/>
  <c r="H56" i="27" s="1"/>
  <c r="G55" i="27"/>
  <c r="G56" i="27" s="1"/>
  <c r="I30" i="27"/>
  <c r="I31" i="27"/>
  <c r="J29" i="27"/>
  <c r="I32" i="27"/>
  <c r="I54" i="27"/>
  <c r="I55" i="27" l="1"/>
  <c r="I56" i="27" s="1"/>
  <c r="J32" i="27"/>
  <c r="J30" i="27"/>
  <c r="K29" i="27"/>
  <c r="J31" i="27"/>
  <c r="J54" i="27"/>
  <c r="J55" i="27" l="1"/>
  <c r="J56" i="27" s="1"/>
  <c r="K32" i="27"/>
  <c r="K30" i="27"/>
  <c r="K31" i="27"/>
  <c r="K54" i="27"/>
  <c r="K55" i="27" l="1"/>
  <c r="K56" i="27" s="1"/>
</calcChain>
</file>

<file path=xl/sharedStrings.xml><?xml version="1.0" encoding="utf-8"?>
<sst xmlns="http://schemas.openxmlformats.org/spreadsheetml/2006/main" count="395" uniqueCount="308">
  <si>
    <t>PAYING FOR CURES TOOLKIT AND MATERIALS</t>
  </si>
  <si>
    <t>Terms and conditions</t>
  </si>
  <si>
    <t>PLEASE READ THESE TERMS OF USE BEFORE USING THESE MATERIALS.</t>
  </si>
  <si>
    <t>Acceptance of the Terms of Use</t>
  </si>
  <si>
    <t xml:space="preserve">Welcome to the website and materials of the Financing and reimbursement of Cures in the US (“FoCUS”) Project, Paying for Cures Toolkit, a part of the </t>
  </si>
  <si>
    <t xml:space="preserve">New Drug Development Paradigms Initiative (“NEWDIGS”) at the Tufts Medical Center (the "Site"). </t>
  </si>
  <si>
    <t xml:space="preserve">These Terms of Use govern your use of the Site and the materials found on the Site, including but not limited to this workbook. </t>
  </si>
  <si>
    <t xml:space="preserve">Please read these Terms of Use carefully before you start to use the Site and these materials. By using the Site and materials, you hereby accept these Terms of Use. </t>
  </si>
  <si>
    <t>If you do not agree to these Terms of Use, you should not visit the Site or use these materials.</t>
  </si>
  <si>
    <t>Changes to the Terms of Use</t>
  </si>
  <si>
    <t>Tufts Medical Center reserves the right to change these Terms of Use at any time in its sole discretion by posting revisions on the Site. Such revisions will be effective</t>
  </si>
  <si>
    <t>immediately upon posting them to the Site. Your use of the Site or materials after such changes have been posted shall constitute your acceptance of the revised Terms of Use.</t>
  </si>
  <si>
    <t>Accessing this Site</t>
  </si>
  <si>
    <t>1. By using this Site or materials, you represent and warrant that you are 13 years or older. If you are under the age of 13 years, you agree not to visit the Site or use these materials.</t>
  </si>
  <si>
    <t xml:space="preserve">2. Tufts Medical Center reserves the right to change or update the Site, and any information, service, tool, model, material, features and functionality (including but not limited to all software, text, </t>
  </si>
  <si>
    <t xml:space="preserve">displays, downloadable spreadsheets, images, video and audio, and the design, selection and arrangement thereof) or other content we provide on the Site (collectively, “Content”), </t>
  </si>
  <si>
    <t>in our sole discretion and without notice. However, Tufts Medical Center is under no obligation to update or correct any Content.</t>
  </si>
  <si>
    <t xml:space="preserve">3. Tufts Medical Center will not be responsible or liable if for any reason all or any part of the Site is unavailable at any time or for any period. Tufts Medical Center may suspend access to the entire Site, </t>
  </si>
  <si>
    <t>or some parts of the Site, or close it indefinitely, in Tufts Medical Center’s discretion.</t>
  </si>
  <si>
    <t>4. You are responsible for making all arrangements necessary for you to have access to the Site.</t>
  </si>
  <si>
    <t xml:space="preserve">5. You are responsible for ensuring that all persons who access the Site through your Internet connection or utilize the materials gained through your internet connection are </t>
  </si>
  <si>
    <t>aware of these Terms of Use, and that they comply with them.</t>
  </si>
  <si>
    <t>Prohibited Uses</t>
  </si>
  <si>
    <t>1. You may use the Site only for lawful purposes and in accordance with these Terms of Use. You agree not to use the Site or the Content:</t>
  </si>
  <si>
    <t xml:space="preserve">1. For commercial purposes, including that you may not reproduce, sell or exploit for any commercial purposes any part of the Site, access to the Site, use of the Site or any </t>
  </si>
  <si>
    <t>Content available through the Site;</t>
  </si>
  <si>
    <t>2. In any way that violates any applicable federal, state, local and international law or regulation; and</t>
  </si>
  <si>
    <t xml:space="preserve">3. To engage in any other conduct that restricts or inhibits anyone’s use or enjoyment of the Site, or which, as determined by Tufts Medical Center, may harm Tufts Medical Center or users of the Site or </t>
  </si>
  <si>
    <t>expose them to liability (for example, in a manner that that could disable, overburden, damage, or impair the Site).</t>
  </si>
  <si>
    <t>2. Additionally, you agree not to:</t>
  </si>
  <si>
    <t>1. Use any robot, spider or other automatic device, process or means to access the Site for any purpose, including to monitor or impermissibly copy any of the material on the Site;</t>
  </si>
  <si>
    <t>2. Use any manual process to monitor or impermissibly copy any of the material on the Site or for any other unauthorized purpose without the prior written consent of Tufts Medical Center;</t>
  </si>
  <si>
    <t>3. Introduce any viruses, Trojan horses, worms, logic bombs or other material which is malicious or technologically harmful;</t>
  </si>
  <si>
    <t xml:space="preserve">4. Attempt to gain unauthorized access to, interfere with, damage or disrupt any part of the Site, the server on which any part of the Site is stored or any server, computer </t>
  </si>
  <si>
    <t>or database connected to the Site;</t>
  </si>
  <si>
    <t>5. Attack the Site via a denial-of-service attack or a distributed denial-of-service attack; or</t>
  </si>
  <si>
    <t>6. Access or search or attempt to access or search the Site by any means (automated or otherwise) other than through our currently available, published interfaces provided by Tufts Medical Center; or</t>
  </si>
  <si>
    <t>7. Otherwise attempt to interfere with the proper working of the Site.</t>
  </si>
  <si>
    <t>Intellectual Property Rights</t>
  </si>
  <si>
    <t xml:space="preserve">1. The Site and all Content and all intellectual property rights therein are owned by Tufts Medical Center, its licensors or other providers. You must not use the name “Tufts Medical Center” </t>
  </si>
  <si>
    <t xml:space="preserve"> or any variation, adaptation, or abbreviation thereof, or of any of Tufts Medical Center’s trustees, officers, faculty, students, employees, or agents, or any trademark </t>
  </si>
  <si>
    <t>owned by Tufts Medical Center (which includes the Tufts Medical Center logos) without the prior written permission of Tufts Medical Center. All other trademarks appearing on the Site are the property of their respective owners.</t>
  </si>
  <si>
    <t xml:space="preserve">2. Some of the Content on the Site is not available for downloading, such as our copyrighted works that we do not distribute or works of others that we are not permitted to distribute. </t>
  </si>
  <si>
    <t>Selected content may be downloaded by you pursuant to these Terms of Use (“Available Content”) where expressly indicated. Users are granted a limited, revocable, nonexclusive,</t>
  </si>
  <si>
    <t xml:space="preserve"> nontransferable license to use Available Content conditioned on your continued compliance with these Terms of Use. YOU MAY REVIEW, DOWNLOAD, COPY, DISTRIBUTE </t>
  </si>
  <si>
    <t xml:space="preserve">AND USE THE AVAILABLE CONTENT SOLELY FOR THE PURPOSE OF GENERAL INFORMATION GATHERING AND/OR RESEARCH PURPOSES , PROVIDED THAT YOU </t>
  </si>
  <si>
    <t xml:space="preserve">PROPERLY ATTRIBUTE SUCH CONTENT TO TUFTS MEDICAL CENTER. FOR THE SAKE OF CLARITY, PROPER ATTRIBUTION INCLUDES THE REPRODUCTION OF ALL </t>
  </si>
  <si>
    <t xml:space="preserve">COPYRIGHT NOTICES. YOU MAY NOT SELL THE AVAILABLE CONTENT OR OTHERWISE DISTRIBUTE IT FOR A FEE. YOU WILL NOT USE OR </t>
  </si>
  <si>
    <t xml:space="preserve">DISCLOSE THE AVAILABLE CONTENT TO ANY THIRD PARTIES EXCEPT AS EXPRESSLY PERMITTED BY THESE TERMS OF USE. ANY </t>
  </si>
  <si>
    <t>PERMISSION TO USE AVAILABLE CONTENT IS REVOCABLE BY TUFTS MEDICAL CENTER AT ITS SOLE DISCRETION AT ANY TIME UPON NOTICE FROM TUFTS MEDICAL CENTER.</t>
  </si>
  <si>
    <t xml:space="preserve">3. If and to the extent you provide any feedback, suggestions, recommendations, analysis or other information or data to Tufts Medical Center in connection with your use of the Site or the Content (“Feedback”), </t>
  </si>
  <si>
    <t>you hereby permit Tufts Medical Center to use, reproduce, disclose, distribute, modify, and prepare derivative works of such Feedback for any purpose whatsoever in perpetuity.</t>
  </si>
  <si>
    <t>4. You must not:</t>
  </si>
  <si>
    <t>1. Modify copies of any Content, except as expressly authorized by Tufts Medical Center on the Site;</t>
  </si>
  <si>
    <t>2. Use any illustrations, photographs, video or audio sequences or any graphics separately from the accompanying text; or</t>
  </si>
  <si>
    <t>3. Delete or alter any copyright, trademark or other proprietary rights notices from any Content.</t>
  </si>
  <si>
    <t xml:space="preserve">5. No right, title or interest in or to the Site or any Content is transferred to you, and all rights not expressly granted are reserved by Tufts Medical Center. Any use of the Site not expressly permitted by these </t>
  </si>
  <si>
    <t>Terms of Use is a breach of these Terms of Use and may violate copyright, trademark and other laws.</t>
  </si>
  <si>
    <t>Disclaimer of Warranties</t>
  </si>
  <si>
    <t xml:space="preserve">1. The Site and the Content is made available solely for general informational purposes. THE SITE, THE CONTENT AND ANY INFORMATION OBTAINED THROUGH USE OF THE SITE </t>
  </si>
  <si>
    <t xml:space="preserve">AND THE CONTENT ARE PROVIDED ON AN “AS IS” AND “AS AVAILABLE” BASIS, WITHOUT ANY WARRANTIES OF ANY KIND, EITHER EXPRESS OR IMPLIED, STATUTORY OR </t>
  </si>
  <si>
    <t xml:space="preserve">OTHERWISE, INCLUDING BUT NOT LIMITED TO ANY WARRANTIES OF MERCHANTABILITY, NON-INFRINGEMENT AND FITNESS FOR A PARTICULAR PURPOSE. WITHOUT LIMITING </t>
  </si>
  <si>
    <t xml:space="preserve">THE FOREGOING, Tufts Medical Center MAKES NO WARRANTY THAT: (a) THE SITE OR THE CONTENT IS ACCURATE, COMPLETE, USEFUL FOR A PARTICULAR PURPOSE OR UP-TO-DATE OR (b) </t>
  </si>
  <si>
    <t xml:space="preserve">THAT THE INFORMATION THAT MAY BE OBTAINED FROM THE USE OF THE SITE OR CONTENT WILL BE ACCURATE, RELIABLE OR OTHEREWISE MEET YOUR NEEDS OR </t>
  </si>
  <si>
    <t xml:space="preserve">EXPECTATIONS. YOUR USE OF, AND RELIANCE ON, THE SITE, THE CONTENT, AND/OR ANY INFORMATION BASED UPON USE OF THE CONTENT IS STRICTLY AT YOUR OWN RISK. </t>
  </si>
  <si>
    <t xml:space="preserve">Tufts Medical Center shall not be responsible or liable for your use of the Site, the Content, and/or any information based upon your use of the Content. This Site and the Content are not a substitute for your or your entity’s </t>
  </si>
  <si>
    <t>own decision-making.</t>
  </si>
  <si>
    <t xml:space="preserve">1. Tufts Medical Center does not guarantee or warrant that files available for downloading from the Internet or the Site will be free of viruses or other destructive code. NEITHER Tufts Medical Center NOR ANY PERSON ASSOCIATED </t>
  </si>
  <si>
    <t xml:space="preserve">WITH TUFTS MEDICAL CENTER MAKES ANY WARRANTY OR REPRESENTATION WITH RESPECT TO THE SECURITY, RELIABILITY, QUALITY, OR AVAILABILITY OF THE SITE AND THE CONTENT. TUFTS MEDICAL CENTER </t>
  </si>
  <si>
    <t xml:space="preserve">WILL NOT BE LIABLE FOR ANY LOSS OR DAMAGE CAUSED BY A DISTRIBUTED DENIAL-OF-SERVICE ATTACK, VIRUSES OR OTHER TECHNOLOGICALLY HARMFUL MATERIAL THAT MAY </t>
  </si>
  <si>
    <t xml:space="preserve">INFECT YOUR COMPUTER EQUIPMENT, COMPUTER PROGRAMS, DATA OR OTHER PROPRIETARY MATERIAL DUE TO YOUR USE OF THE SITE, THE CONTENT, YOUR DOWNLOADING </t>
  </si>
  <si>
    <t>OF ANY AVAILABLE CONTENT, OR YOUR USE OF ANY WEBSITE LINKED TO THE SITE.</t>
  </si>
  <si>
    <t>2. THE FOREGOING DOES NOT AFFECT ANY WARRANTIES WHICH CANNOT BE EXCLUDED OR LIMITED UNDER APPLICABLE LAW.</t>
  </si>
  <si>
    <t>Limitation on Liability</t>
  </si>
  <si>
    <t>1. IN NO EVENT WILL TUFTS MEDICAL CENTER, ITSTRUSTEES, DIRECTORS, OFFICERS, FACULTY, STUDENTS, EMPLOYEES, AGENTS, AFFILIATES AND THEIR RESPECTIVE SUCCESSORS, HEIRS AND</t>
  </si>
  <si>
    <t xml:space="preserve"> ASSIGNS BE LIABLE FOR DAMAGES OF ANY KIND, UNDER ANY LEGAL THEORY, ARISING OUT OF OR IN CONNECTION WITH YOUR USE, OR INABILITY TO USE, THE SITE, THE CONTENT, </t>
  </si>
  <si>
    <t xml:space="preserve">ANY WEBSITES LINKED TO THE SITE OR CONTENT OR ANY INFORMATION OBTAINED THROUGH THE SITE, CONTENT OR SUCH THIRD PARTY WEBSITES, INCLUDING ANY DIRECT, INDIRECT, </t>
  </si>
  <si>
    <t xml:space="preserve">SPECIAL, INCIDENTAL, CONSEQUENTIAL OR PUNITIVE DAMAGES, WHICH MAY INCLUDE  BUT NOT BE LIMITED TO, PERSONAL INJURY, LOST PROFITS, LOSS OF BUSINESS OR ANTICIPATED </t>
  </si>
  <si>
    <t>SAVINGS, LOSS OF GOODWILL, LOSS OF DATA, AND WHETHER CAUSED BY TORT (INCLUDING NEGLIGENCE), BREACH OF CONTRACT OR OTHERWISE, EVEN IF FORSEEABLE.</t>
  </si>
  <si>
    <t>2. THE FOREGOING DOES NOT AFFECT ANY LIABILITY WHICH CANNOT BE EXCLUDED OR LIMITED UNDER APPLICABLE LAW.</t>
  </si>
  <si>
    <t>Indemnification</t>
  </si>
  <si>
    <t xml:space="preserve">To the fullest extent perTufts Medical Centerted by law, you shall indemnify Tufts Medical Center and all of its trustees, directors, officers, faculty, students, employees, agents, affiliates and their respective </t>
  </si>
  <si>
    <t>successors, heirs and assigns (collectively, the “Indemnified Parties”) from and against any and all losses and liabilities, including, without limitation, reasonable</t>
  </si>
  <si>
    <t xml:space="preserve"> attorneys’ fees incurred by the Indemnified Parties in connection with any claim arising from or related to your breach of these Terms of Use, your use of the Site and the </t>
  </si>
  <si>
    <t>Content and your use of any information obtained through use of the Site and Content. You shall cooperate as fully as reasonably required in the defense of any such claim.</t>
  </si>
  <si>
    <t>Monitoring and Enforcement</t>
  </si>
  <si>
    <t xml:space="preserve">Tufts Medical Center has the right to: (a) take appropriate legal action, including without liTufts Medical Centeration, referral to law enforcement, for any illegal or unauthorized use of the Site and </t>
  </si>
  <si>
    <t>(b) terminate your access to all or part of the Site for any or no reason, including without limitation any violation of these Terms of Use.</t>
  </si>
  <si>
    <t>Site Assistance</t>
  </si>
  <si>
    <t xml:space="preserve">You understand that Tufts Medical Center does not provide customer assistance or technical support for use of the Site. You may contact us concerning technical problems but Tufts Medical Center is </t>
  </si>
  <si>
    <t>under no obligation to fix or correct any technical issue.</t>
  </si>
  <si>
    <t>Links from the Site</t>
  </si>
  <si>
    <t xml:space="preserve">If the Site contains links to other websites and resources provided by or hosted by third parties, these links are provided for your convenience only. Tufts Medical Center has no control </t>
  </si>
  <si>
    <t xml:space="preserve">over the contents of those websites or resources and accepts no responsibility for them or for any loss or damage that may arise from your use of them. If you </t>
  </si>
  <si>
    <t>decide to access any of the third party websites linked to the Site, you do so entirely at your own risk and subject to the terms and conditions of use for such websites.</t>
  </si>
  <si>
    <t>Geographic Restrictions</t>
  </si>
  <si>
    <t xml:space="preserve">The Site is operated by Tufts Medical Center from Boston, Massachusetts in the United States of America. Content is not intended for distribution to, or use by, any person or </t>
  </si>
  <si>
    <t xml:space="preserve">entity in any jurisdiction or country where such distribution or use would be contrary to law or regulation or which would subject Tufts Medical Center to any registration or </t>
  </si>
  <si>
    <t>other requirement within such jurisdiction or country. Tufts Medical Center reserves the right to liTufts Medical Center access or availability of the Site to any person, geographic region or jurisdiction.</t>
  </si>
  <si>
    <t>Dispute Resolution By Arbitration</t>
  </si>
  <si>
    <t xml:space="preserve">The parties shall settle any dispute arising out of or relating to these Terms of Use or your use of the Site by arbitration in the city of Boston, Massachusetts, USA, </t>
  </si>
  <si>
    <t>in accordance with the applicable rules of the American Arbitration Association then in effect. The arbitrator’s award shall be final and may be confirmed by the</t>
  </si>
  <si>
    <t xml:space="preserve"> judgment of a state or federal court in the city of Boston, Massachusetts.</t>
  </si>
  <si>
    <t>Governing Law</t>
  </si>
  <si>
    <t>These Terms of Use and all disputes or controversies arising out of or relating to these Terms of Use and your use of the Site and the Content shall be governed</t>
  </si>
  <si>
    <t xml:space="preserve"> by, and construed in accordance with, the laws of the Commonwealth of Massachusetts without regard to conflicts of law provisions that would require </t>
  </si>
  <si>
    <t>the laws of another jurisdiction to apply.</t>
  </si>
  <si>
    <t>Limitation on Time to File Claims</t>
  </si>
  <si>
    <t xml:space="preserve">ANY CAUSE OF ACTION OR CLAIM YOU MAY HAVE ARISING OUT OF OR RELATING TO THESE TERMS OF USE OR THE SITE OR THE CONTENT MUST </t>
  </si>
  <si>
    <t>BE COMMENCED WITHIN ONE (1) YEAR AFTER THE CAUSE OF ACTION ACCRUES, OTHERWISE SUCH CAUSE OF ACTION OR CLAIM IS PERMANENTLY BARRED.</t>
  </si>
  <si>
    <t>Waiver and Severability</t>
  </si>
  <si>
    <t xml:space="preserve">No waiver of these Terms of Use by Tufts Medical Center shall be deemed a further or continuing waiver of such term or condition or any other term or condition, and any failure </t>
  </si>
  <si>
    <t xml:space="preserve">of Tufts Medical Center to assert a right or provision under these Terms of Use shall not constitute a waiver of such right or provision.  If any provision of these Terms of Use </t>
  </si>
  <si>
    <t xml:space="preserve">is held by a court of competent jurisdiction to be invalid, illegal or unenforceable for any reason, such provision shall be eliminated or limited to the minimum </t>
  </si>
  <si>
    <t>extent such that the remaining provisions of the Terms of Use will continue in full force and effect.</t>
  </si>
  <si>
    <t>Comments and Concerns</t>
  </si>
  <si>
    <t xml:space="preserve">1. The Site is operated by the FoCUS Project within NEWDIGS at Tufts Medical Center.  All technical issues or questions may be directed to tuftsmcnewdigs@tuftsmedicalcenter.org </t>
  </si>
  <si>
    <t>provided that Tufts Medical Center is under no obligation to respond to your email or make any requested fix.</t>
  </si>
  <si>
    <t xml:space="preserve">2. ​All other feedback and comments concerning the Site and the Content, or other general inquiries related to NEWDIGS </t>
  </si>
  <si>
    <t>or FoCUS should be directed to tuftsmcnewdigs@tuftsmedicalcenter.org.</t>
  </si>
  <si>
    <t>Thank you for visiting our Site.</t>
  </si>
  <si>
    <t>Overview</t>
  </si>
  <si>
    <t xml:space="preserve">This worksheet is intended to help you develop an overall strategy for addressing the aggregate effect of </t>
  </si>
  <si>
    <t xml:space="preserve">cell and gene therapies on your organization.  This resource provides pipeline projections for your organization, </t>
  </si>
  <si>
    <t xml:space="preserve">enabling you to think through the financial implications of cell and gene therapies, and potential </t>
  </si>
  <si>
    <t>Precision Financing Solutions, processes and capabilities you may need to put in place to prepare for patient</t>
  </si>
  <si>
    <t>access to these therapies</t>
  </si>
  <si>
    <t xml:space="preserve">You are advised to perform more detailed modeling on your own as appropriate. Assumptions used herein </t>
  </si>
  <si>
    <t>may not reflect your particular circumstances. Please check any information you enter for accuracy.</t>
  </si>
  <si>
    <t xml:space="preserve">We have structured this resource around a set of key questions.  </t>
  </si>
  <si>
    <r>
      <t xml:space="preserve">The </t>
    </r>
    <r>
      <rPr>
        <b/>
        <sz val="11"/>
        <color theme="1"/>
        <rFont val="Calibri"/>
        <family val="2"/>
        <scheme val="minor"/>
      </rPr>
      <t>Pipeline Estimator Tool</t>
    </r>
    <r>
      <rPr>
        <sz val="11"/>
        <color theme="1"/>
        <rFont val="Calibri"/>
        <family val="2"/>
        <scheme val="minor"/>
      </rPr>
      <t xml:space="preserve"> estimates the direct cost of cell and gene therapies to your plan based on your plan size, </t>
    </r>
  </si>
  <si>
    <t xml:space="preserve">and plan/payer type (Medicare, Medicaid, Not Medicare or Medicaid).  Based on these parameters, the Pipeline Estimator Tool calculates </t>
  </si>
  <si>
    <t>your per-member-per-month (PMPM) spend associated with the estimated pipeline for cell and gene therapy expenditures.</t>
  </si>
  <si>
    <t xml:space="preserve">Pipeline results can be generated for a mean value, 5% or 95% of the Monte Carlo simulations.  </t>
  </si>
  <si>
    <t xml:space="preserve">You can use the numbers generated from the pipeline estimator to assess the impact on your organization by considering questions </t>
  </si>
  <si>
    <t>posed on the worksheet page.  A categorization of the Precision Financing Solutions by risk (payment timing, actuarial, performance)</t>
  </si>
  <si>
    <t xml:space="preserve">with high-level implementation concerns will help you to consider your organization's preparedness for the pipeline. </t>
  </si>
  <si>
    <t>Note:  High-level estimation methodology</t>
  </si>
  <si>
    <t>Below is a brief schematic description of the methodology used to arrive at the pipeline estimates. Greater detail is found here.</t>
  </si>
  <si>
    <t>Figure:  Schematic of therapy launch and patient number estimation</t>
  </si>
  <si>
    <t>Pipeline Estimator Tool</t>
  </si>
  <si>
    <t>This workbook provides a simple model that helps you to see how the pipeline of cell and gene therapies may impact your  business and what risks you may need to consider and counter.</t>
  </si>
  <si>
    <t>You are advised to perform more detailed modeling on your own as appropriate. Assumptions used herein may not reflect your particular circumstances. Please check any user-entered information for accuracy.</t>
  </si>
  <si>
    <r>
      <t xml:space="preserve">Please note:  </t>
    </r>
    <r>
      <rPr>
        <b/>
        <sz val="11"/>
        <rFont val="Calibri"/>
        <family val="2"/>
        <scheme val="minor"/>
      </rPr>
      <t>White</t>
    </r>
    <r>
      <rPr>
        <sz val="11"/>
        <rFont val="Calibri"/>
        <family val="2"/>
        <scheme val="minor"/>
      </rPr>
      <t xml:space="preserve"> cells are calculated cells and can not be changed - they have been password protected; </t>
    </r>
    <r>
      <rPr>
        <b/>
        <sz val="11"/>
        <rFont val="Calibri"/>
        <family val="2"/>
        <scheme val="minor"/>
      </rPr>
      <t xml:space="preserve">Green </t>
    </r>
    <r>
      <rPr>
        <sz val="11"/>
        <rFont val="Calibri"/>
        <family val="2"/>
        <scheme val="minor"/>
      </rPr>
      <t xml:space="preserve">cells require user input; </t>
    </r>
    <r>
      <rPr>
        <b/>
        <sz val="11"/>
        <rFont val="Calibri"/>
        <family val="2"/>
        <scheme val="minor"/>
      </rPr>
      <t>Orange</t>
    </r>
    <r>
      <rPr>
        <sz val="11"/>
        <rFont val="Calibri"/>
        <family val="2"/>
        <scheme val="minor"/>
      </rPr>
      <t xml:space="preserve"> cells are optional user-input cells to override selected calculated assumptions</t>
    </r>
  </si>
  <si>
    <t>Pipeline Estimator Line of Business</t>
  </si>
  <si>
    <t>Step 1. Define pipeline for comparison</t>
  </si>
  <si>
    <t xml:space="preserve">The Pipeline Estimator Tool allows you to apply simple population ratios to get a sense of the potential impact of the expected new products on your plan. The pipeline addresses certain conditions are more commonly seen within population segments; for example, Medicare plans will likely see a larger share of the oncology cell therapies; Medicaid plans will see a larger share of treatments to address genetic conditions that manifest in childhood. The pipeline tool enables you to breakdown the General Population (US Census) data into segments of Medicare, Medicaid and Not Medicare or Medicaid to best match the your payer type.  </t>
  </si>
  <si>
    <t xml:space="preserve">The FoCUS team has developed detailed 'best estimates' of the potential target patient populations associated with clinical trail participant criteria identified through literature review for different therapy indications. Prices for the products are based on current gene and cell therapy products in the market.  </t>
  </si>
  <si>
    <t>Prices used in the estimation of total pipeline reimbursement</t>
  </si>
  <si>
    <t>Choose the best pipeline forecast for your plan</t>
  </si>
  <si>
    <t>Price per Patient Treated</t>
  </si>
  <si>
    <t>Category</t>
  </si>
  <si>
    <r>
      <t xml:space="preserve">Note - </t>
    </r>
    <r>
      <rPr>
        <b/>
        <sz val="11"/>
        <color theme="1"/>
        <rFont val="Calibri"/>
        <family val="2"/>
        <scheme val="minor"/>
      </rPr>
      <t>General Population</t>
    </r>
    <r>
      <rPr>
        <sz val="11"/>
        <color theme="1"/>
        <rFont val="Calibri"/>
        <family val="2"/>
        <scheme val="minor"/>
      </rPr>
      <t xml:space="preserve"> represents all US lives.  
</t>
    </r>
    <r>
      <rPr>
        <b/>
        <sz val="11"/>
        <color theme="1"/>
        <rFont val="Calibri"/>
        <family val="2"/>
        <scheme val="minor"/>
      </rPr>
      <t xml:space="preserve">Not Medicare or Medicaid </t>
    </r>
    <r>
      <rPr>
        <sz val="11"/>
        <color theme="1"/>
        <rFont val="Calibri"/>
        <family val="2"/>
        <scheme val="minor"/>
      </rPr>
      <t>represents all US lives less Medicare/Medicaid which includes commercial, employer coverage, uninsured, etc.</t>
    </r>
  </si>
  <si>
    <t>Ultra-orphan</t>
  </si>
  <si>
    <t>Orphan conditions</t>
  </si>
  <si>
    <t>Ophthalmological (genetic)</t>
  </si>
  <si>
    <t>Higher prevalence genetic</t>
  </si>
  <si>
    <t>CAR-T/TCR</t>
  </si>
  <si>
    <t>Select pipeline view from the dropdown menu below</t>
  </si>
  <si>
    <t>Ophthalmological (non-genetic)</t>
  </si>
  <si>
    <t>Osteoarthritis (knee replacement)</t>
  </si>
  <si>
    <t>Not Medicare or Medicaid</t>
  </si>
  <si>
    <t xml:space="preserve">.  </t>
  </si>
  <si>
    <t xml:space="preserve">95th  percentile = value at which 5% of Monte Carlo analysis outcomes exceeded these results. </t>
  </si>
  <si>
    <t>5th percentile = value at which 5% of Monte Carlo analysis outcomes are below these results</t>
  </si>
  <si>
    <t xml:space="preserve">Note:  This model estimates off the December 2022 pipeline for cell and gene therapies.  As products come to market, patient utilization grows and then falls as any bolus of prevalent patients are treated.  The financial projections </t>
  </si>
  <si>
    <t xml:space="preserve">follow the same pattern.  This projection ONLY includes estimated sales from the current, known, clinical pipeline. Other products will launch during the forecast timeframe and would be expected to INCREASE these numbers, </t>
  </si>
  <si>
    <t>particularly during the later years.</t>
  </si>
  <si>
    <t>Plan specific estimated pipeline costs</t>
  </si>
  <si>
    <t>Step 2: Ratio the selected population to your plan</t>
  </si>
  <si>
    <t xml:space="preserve">When you enter your plan size in terms of number of members in the green box below, the pipeline estimator tool will use that number as a share of selected pipeline (Medicare, Medicaid, Non Medicare or Medicaid, General Population) to estimate the numbers  that will apply to your plan. </t>
  </si>
  <si>
    <t>Your Plan Size (# of members)</t>
  </si>
  <si>
    <t>Choose pipeline view (mean, 5%, 95%) 
from the dropdown menu</t>
  </si>
  <si>
    <t>Your numbers as output</t>
  </si>
  <si>
    <t>Projected Pipeline - plan specific impact ($millions)</t>
  </si>
  <si>
    <t>Projected Pipeline - plan specific PMPM</t>
  </si>
  <si>
    <r>
      <t xml:space="preserve">The numbers above are </t>
    </r>
    <r>
      <rPr>
        <i/>
        <sz val="11"/>
        <rFont val="Franklin Gothic Book"/>
        <family val="2"/>
      </rPr>
      <t>estimates and solely focused on therapeutic purchase costs</t>
    </r>
    <r>
      <rPr>
        <sz val="11"/>
        <rFont val="Franklin Gothic Book"/>
        <family val="2"/>
      </rPr>
      <t xml:space="preserve">.  They look at cell and gene therapies as an incremental category.  They do not take into account any additional treatment costs beyond the </t>
    </r>
  </si>
  <si>
    <t>direct costs of the cell and gene therapy portfolio or any cost-offsets from existing therapies that might be displaced by these treatments or downstream medical, pharmaceutical or other benefits or cost savings that might be achieved</t>
  </si>
  <si>
    <t xml:space="preserve">In addition, this is a new area of science, few products are on the market and those that are, are relatively newly available.  There is little experience with the extent and speed of patient and physician adoption of these products.  </t>
  </si>
  <si>
    <t xml:space="preserve">Each medicine will need to be evaluated on its own merits.  Therefore, the estimates should be used to inform strategic assessments, but with appropriate appreciation for the challenges of estimating a new-to-world class of therapies. </t>
  </si>
  <si>
    <t>We advise each organization to conduct its own more detailed operational analysis before making final decisions.</t>
  </si>
  <si>
    <t>Guide to Strategic Considerations</t>
  </si>
  <si>
    <t>Step 3 - Organization assessment of pipeline impact.</t>
  </si>
  <si>
    <t xml:space="preserve">Strategies to address pipeline projections of total cost and PMPM must address growth in cost over time, surges in cost due to new treatments for prevalent populations, actuarial risks from incidence of high cost orphan conditions and opportunities to protect payment value for treatment against failure of product to deliver outcomes.  </t>
  </si>
  <si>
    <t>Check points</t>
  </si>
  <si>
    <t>q</t>
  </si>
  <si>
    <t>Able to manage the growth in PMPM</t>
  </si>
  <si>
    <t>Able to anticipate/plan for surge in costs due to prevalent populations</t>
  </si>
  <si>
    <t>Able to secure/maintain any needed mechanism for actuarial risk (stop loss, reinsurance, risk pools, etc.)</t>
  </si>
  <si>
    <t>Able to protect treatment benefit with performance guarantees</t>
  </si>
  <si>
    <t xml:space="preserve">You may wish to consider one of the FoCUS Precision Financing Solutions.  Note however, that no one Precision Financing Solution addresses all components of risk and a combination of finance solutions may be needed to prepare your organization for the pipeline impact.  </t>
  </si>
  <si>
    <t xml:space="preserve">Resources for Implementation of any of the Precision Financing Solutions should be considered when selecting a precision financing approach.  Capabilities maybe found within your organization or may require contracting externally.  Considerations for implementation are presented in the table below. </t>
  </si>
  <si>
    <t xml:space="preserve">A total solutions strategy also requires consideration of: </t>
  </si>
  <si>
    <t>- Provider delivery network / Centers of Excellence contracting</t>
  </si>
  <si>
    <t>- Out of state networks</t>
  </si>
  <si>
    <t>- Provider reimbursement</t>
  </si>
  <si>
    <t xml:space="preserve">- Benefit design </t>
  </si>
  <si>
    <t>Precision Financing Solutions</t>
  </si>
  <si>
    <t>Data        collection</t>
  </si>
  <si>
    <t>Developer contract</t>
  </si>
  <si>
    <t>Clinical Coordination</t>
  </si>
  <si>
    <t>Patient      Mobility</t>
  </si>
  <si>
    <t>Provider Contracts</t>
  </si>
  <si>
    <t>Milestone based agreement (MBA)</t>
  </si>
  <si>
    <t>Yes</t>
  </si>
  <si>
    <t>Maybe</t>
  </si>
  <si>
    <t>Multi-year milestone based agreement</t>
  </si>
  <si>
    <t>MBA with additional finance solution</t>
  </si>
  <si>
    <t>TBD*</t>
  </si>
  <si>
    <t>Warranty - Stand alone  (note - data collection by OBCA)</t>
  </si>
  <si>
    <t>Yes - Claims</t>
  </si>
  <si>
    <t>Warranty with additional finance solution</t>
  </si>
  <si>
    <t>Payment over time/installment payments</t>
  </si>
  <si>
    <t>Performance based annuity</t>
  </si>
  <si>
    <t>Subscription Model</t>
  </si>
  <si>
    <t>Performance based subscription model</t>
  </si>
  <si>
    <t>Stop-Loss / Reinsurance</t>
  </si>
  <si>
    <t>Stop-Loss / Reinsurance w/ MBA or Warranty</t>
  </si>
  <si>
    <t>Therapy specific risk pools</t>
  </si>
  <si>
    <t>Therapy specific risk pools w/ MBA or warranty</t>
  </si>
  <si>
    <t>*TBD is defined by the financial solution selected</t>
  </si>
  <si>
    <t>Total Reimbursement</t>
  </si>
  <si>
    <t>Medicare</t>
  </si>
  <si>
    <t>95th Percentile</t>
  </si>
  <si>
    <t>Mean</t>
  </si>
  <si>
    <t>5th Percentile</t>
  </si>
  <si>
    <t>Medicaid</t>
  </si>
  <si>
    <t>General Population</t>
  </si>
  <si>
    <t>Solution Prioritization Tool</t>
  </si>
  <si>
    <t>Y/N Responses</t>
  </si>
  <si>
    <t>Term</t>
  </si>
  <si>
    <t>Type of therapy</t>
  </si>
  <si>
    <t>Payer Type</t>
  </si>
  <si>
    <t>Y</t>
  </si>
  <si>
    <t>&lt;=1 year</t>
  </si>
  <si>
    <t>Inpatient</t>
  </si>
  <si>
    <t>Self-insured Employer</t>
  </si>
  <si>
    <t>N</t>
  </si>
  <si>
    <t>&gt;1 year</t>
  </si>
  <si>
    <t>Outpatient Physician Administered</t>
  </si>
  <si>
    <t>Commercial Insurer/MCO</t>
  </si>
  <si>
    <t>Medicare Advantage</t>
  </si>
  <si>
    <t>Known/Estimated</t>
  </si>
  <si>
    <t>Pipeline Type</t>
  </si>
  <si>
    <t>Code</t>
  </si>
  <si>
    <t>Medicare FFS</t>
  </si>
  <si>
    <t>Known</t>
  </si>
  <si>
    <t>Portfolio Graphing Choice</t>
  </si>
  <si>
    <t>Managed Medicaid</t>
  </si>
  <si>
    <t>Estimated</t>
  </si>
  <si>
    <t>Single Patient</t>
  </si>
  <si>
    <t>Medicaid FFS</t>
  </si>
  <si>
    <t>Exp Outcomes</t>
  </si>
  <si>
    <t>Yes/No Responses</t>
  </si>
  <si>
    <t>Selected</t>
  </si>
  <si>
    <t>Rebates vs. Prospective Payments</t>
  </si>
  <si>
    <t>Rebates</t>
  </si>
  <si>
    <t>Portfolio Context - Durable</t>
  </si>
  <si>
    <t>Prospective Payments</t>
  </si>
  <si>
    <t>None</t>
  </si>
  <si>
    <t>Patient Estimates Tool</t>
  </si>
  <si>
    <t>X Products</t>
  </si>
  <si>
    <t>FoCUS Pipeline</t>
  </si>
  <si>
    <t>Therapy Price</t>
  </si>
  <si>
    <t>Price Code</t>
  </si>
  <si>
    <t>Graphing Choice</t>
  </si>
  <si>
    <t>Total Dollars</t>
  </si>
  <si>
    <t>PMPM</t>
  </si>
  <si>
    <t>No</t>
  </si>
  <si>
    <t>Plan Type</t>
  </si>
  <si>
    <t>Population</t>
  </si>
  <si>
    <t>Question Set 1</t>
  </si>
  <si>
    <t>Logic Table 1</t>
  </si>
  <si>
    <t>(Answers)</t>
  </si>
  <si>
    <t>1) Blah, blah, blah</t>
  </si>
  <si>
    <t>2)</t>
  </si>
  <si>
    <t>Opt 1</t>
  </si>
  <si>
    <t>Opt 2</t>
  </si>
  <si>
    <t>Opt 3</t>
  </si>
  <si>
    <t>3)</t>
  </si>
  <si>
    <t>4)</t>
  </si>
  <si>
    <t>5)</t>
  </si>
  <si>
    <t>Answers</t>
  </si>
  <si>
    <t>&lt;-- Q1</t>
  </si>
  <si>
    <t>&lt;-- Q2</t>
  </si>
  <si>
    <t>&lt;-- Q3</t>
  </si>
  <si>
    <t>USER INPUT</t>
  </si>
  <si>
    <t>&lt;-- Q4</t>
  </si>
  <si>
    <t>&lt;-- Q5</t>
  </si>
  <si>
    <t>MET? --&gt;</t>
  </si>
  <si>
    <t>Question Set 2</t>
  </si>
  <si>
    <t>--&gt;</t>
  </si>
  <si>
    <t>ANSWERS ARE NUMERIC EQUIV OF INPUT.</t>
  </si>
  <si>
    <t>LOGIC TABLE DETERMINES IF RELEVANT CONDITIONS MET.</t>
  </si>
  <si>
    <t>QUESTIONS 6-8 APPEAR BASED ON WHETHER OPT 1-3 ARE TRUE</t>
  </si>
  <si>
    <t>Opt 4</t>
  </si>
  <si>
    <t>Opt 5</t>
  </si>
  <si>
    <t>Opt 6</t>
  </si>
  <si>
    <t>Logic Table 2</t>
  </si>
  <si>
    <t>Output Options</t>
  </si>
  <si>
    <t>&lt;--Opt 1 from above</t>
  </si>
  <si>
    <t>&lt;--Opt 2 from above</t>
  </si>
  <si>
    <t>&lt;--Opt 3 from above</t>
  </si>
  <si>
    <t>&lt;-- Q6</t>
  </si>
  <si>
    <t>&lt;-- Q7</t>
  </si>
  <si>
    <t>OUTPUTS APPEAR BASED ON WHETHER OPT 4-6 ARE TRUE</t>
  </si>
  <si>
    <t>&lt;-- Q8</t>
  </si>
  <si>
    <t>MET--&gt;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</si>
</sst>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0_);[Red]\(&quot;$&quot;#,##0.0\)"/>
    <numFmt numFmtId="166" formatCode="_(&quot;$&quot;* #,##0.0_);_(&quot;$&quot;* \(#,##0.0\);_(&quot;$&quot;* &quot;-&quot;??_);_(@_)"/>
  </numFmts>
  <fonts count="32">
    <font>
      <sz val="11"/>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b/>
      <sz val="16"/>
      <color theme="1"/>
      <name val="Calibri"/>
      <family val="2"/>
      <scheme val="minor"/>
    </font>
    <font>
      <sz val="11"/>
      <color theme="1"/>
      <name val="Calibri"/>
      <family val="2"/>
      <scheme val="minor"/>
    </font>
    <font>
      <sz val="11"/>
      <name val="Calibri"/>
      <family val="2"/>
      <scheme val="minor"/>
    </font>
    <font>
      <b/>
      <i/>
      <sz val="11"/>
      <color theme="1"/>
      <name val="Calibri"/>
      <family val="2"/>
      <scheme val="minor"/>
    </font>
    <font>
      <b/>
      <u/>
      <sz val="11"/>
      <color theme="1"/>
      <name val="Calibri"/>
      <family val="2"/>
      <scheme val="minor"/>
    </font>
    <font>
      <u/>
      <sz val="11"/>
      <color theme="10"/>
      <name val="Calibri"/>
      <family val="2"/>
      <scheme val="minor"/>
    </font>
    <font>
      <b/>
      <sz val="11"/>
      <color rgb="FF272727"/>
      <name val="Neue-haas-grotesk-text"/>
    </font>
    <font>
      <b/>
      <sz val="22"/>
      <color rgb="FF357632"/>
      <name val="Neue-haas-grotesk-text"/>
    </font>
    <font>
      <sz val="8.8000000000000007"/>
      <color rgb="FF000000"/>
      <name val="Neue-haas-grotesk-text"/>
    </font>
    <font>
      <b/>
      <sz val="8.8000000000000007"/>
      <color rgb="FF357632"/>
      <name val="Neue-haas-grotesk-text"/>
    </font>
    <font>
      <b/>
      <sz val="11"/>
      <name val="Calibri"/>
      <family val="2"/>
      <scheme val="minor"/>
    </font>
    <font>
      <sz val="11"/>
      <color rgb="FF595959"/>
      <name val="Franklin Gothic Book"/>
      <family val="2"/>
    </font>
    <font>
      <i/>
      <sz val="11"/>
      <name val="Franklin Gothic Book"/>
      <family val="2"/>
    </font>
    <font>
      <sz val="11"/>
      <name val="Franklin Gothic Book"/>
      <family val="2"/>
    </font>
    <font>
      <b/>
      <sz val="11"/>
      <color rgb="FF595959"/>
      <name val="Franklin Gothic Book"/>
      <family val="2"/>
    </font>
    <font>
      <sz val="11"/>
      <color theme="0"/>
      <name val="Calibri"/>
      <family val="2"/>
      <scheme val="minor"/>
    </font>
    <font>
      <b/>
      <sz val="11"/>
      <color rgb="FF0070C0"/>
      <name val="Calibri"/>
      <family val="2"/>
      <scheme val="minor"/>
    </font>
    <font>
      <sz val="12"/>
      <color rgb="FF9C0006"/>
      <name val="Calibri"/>
      <family val="2"/>
      <scheme val="minor"/>
    </font>
    <font>
      <sz val="12"/>
      <color theme="0"/>
      <name val="Calibri"/>
      <family val="2"/>
      <scheme val="minor"/>
    </font>
    <font>
      <u/>
      <sz val="11"/>
      <color theme="11"/>
      <name val="Calibri"/>
      <family val="2"/>
      <scheme val="minor"/>
    </font>
    <font>
      <sz val="10"/>
      <color theme="1"/>
      <name val="Calibri"/>
      <family val="2"/>
      <scheme val="minor"/>
    </font>
    <font>
      <sz val="10"/>
      <color rgb="FF9C0006"/>
      <name val="Calibri"/>
      <family val="2"/>
      <scheme val="minor"/>
    </font>
    <font>
      <b/>
      <i/>
      <sz val="12"/>
      <color theme="1"/>
      <name val="Calibri"/>
      <family val="2"/>
      <scheme val="minor"/>
    </font>
    <font>
      <b/>
      <i/>
      <sz val="11"/>
      <name val="Calibri"/>
      <family val="2"/>
      <scheme val="minor"/>
    </font>
    <font>
      <b/>
      <sz val="11"/>
      <color theme="1"/>
      <name val="Wingdings"/>
      <charset val="2"/>
    </font>
    <font>
      <sz val="11"/>
      <color theme="1"/>
      <name val="Wingdings"/>
      <charset val="2"/>
    </font>
    <font>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C7CE"/>
      </patternFill>
    </fill>
    <fill>
      <patternFill patternType="solid">
        <fgColor rgb="FF0000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double">
        <color auto="1"/>
      </bottom>
      <diagonal/>
    </border>
    <border>
      <left/>
      <right/>
      <top style="thin">
        <color auto="1"/>
      </top>
      <bottom style="double">
        <color auto="1"/>
      </bottom>
      <diagonal/>
    </border>
    <border>
      <left/>
      <right/>
      <top/>
      <bottom style="thin">
        <color auto="1"/>
      </bottom>
      <diagonal/>
    </border>
    <border>
      <left/>
      <right style="medium">
        <color auto="1"/>
      </right>
      <top/>
      <bottom/>
      <diagonal/>
    </border>
    <border>
      <left style="medium">
        <color auto="1"/>
      </left>
      <right/>
      <top/>
      <bottom/>
      <diagonal/>
    </border>
  </borders>
  <cellStyleXfs count="25">
    <xf numFmtId="0" fontId="0" fillId="0" borderId="0"/>
    <xf numFmtId="43" fontId="6"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xf numFmtId="0" fontId="22" fillId="10"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29">
    <xf numFmtId="0" fontId="0" fillId="0" borderId="0" xfId="0"/>
    <xf numFmtId="0" fontId="2" fillId="0" borderId="0" xfId="0" applyFont="1"/>
    <xf numFmtId="0" fontId="0" fillId="0" borderId="0" xfId="0" applyAlignment="1">
      <alignment horizontal="center"/>
    </xf>
    <xf numFmtId="0" fontId="4" fillId="3" borderId="2" xfId="0" applyFont="1" applyFill="1" applyBorder="1"/>
    <xf numFmtId="0" fontId="0" fillId="4" borderId="2" xfId="0" applyFill="1" applyBorder="1" applyAlignment="1">
      <alignment horizontal="left"/>
    </xf>
    <xf numFmtId="0" fontId="0" fillId="0" borderId="2" xfId="0" applyBorder="1" applyAlignment="1">
      <alignment horizontal="left"/>
    </xf>
    <xf numFmtId="0" fontId="2" fillId="2" borderId="0" xfId="0" applyFont="1" applyFill="1"/>
    <xf numFmtId="6" fontId="0" fillId="0" borderId="0" xfId="0" applyNumberFormat="1"/>
    <xf numFmtId="0" fontId="0" fillId="2" borderId="0" xfId="0" applyFill="1"/>
    <xf numFmtId="0" fontId="0" fillId="6" borderId="0" xfId="0" applyFill="1"/>
    <xf numFmtId="0" fontId="2" fillId="6" borderId="6" xfId="0" applyFont="1" applyFill="1" applyBorder="1"/>
    <xf numFmtId="0" fontId="0" fillId="6" borderId="7" xfId="0" applyFill="1" applyBorder="1"/>
    <xf numFmtId="0" fontId="2" fillId="6" borderId="0" xfId="0" applyFont="1" applyFill="1"/>
    <xf numFmtId="0" fontId="0" fillId="6" borderId="0" xfId="0" quotePrefix="1" applyFill="1"/>
    <xf numFmtId="0" fontId="7" fillId="0" borderId="0" xfId="0" applyFont="1"/>
    <xf numFmtId="164" fontId="0" fillId="5" borderId="1" xfId="1" applyNumberFormat="1" applyFont="1" applyFill="1" applyBorder="1" applyProtection="1">
      <protection locked="0"/>
    </xf>
    <xf numFmtId="0" fontId="5" fillId="0" borderId="4" xfId="0" applyFont="1" applyBorder="1" applyAlignment="1">
      <alignment horizontal="left"/>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indent="1"/>
    </xf>
    <xf numFmtId="0" fontId="10" fillId="0" borderId="0" xfId="3" applyFill="1" applyAlignment="1">
      <alignment horizontal="left" vertical="center"/>
    </xf>
    <xf numFmtId="0" fontId="16" fillId="0" borderId="0" xfId="0" applyFont="1" applyAlignment="1">
      <alignment vertical="center"/>
    </xf>
    <xf numFmtId="0" fontId="19" fillId="0" borderId="0" xfId="0" applyFont="1" applyAlignment="1">
      <alignment horizontal="center" vertical="center"/>
    </xf>
    <xf numFmtId="0" fontId="0" fillId="0" borderId="0" xfId="0" quotePrefix="1"/>
    <xf numFmtId="0" fontId="7" fillId="0" borderId="0" xfId="0" applyFont="1" applyAlignment="1">
      <alignment vertical="center"/>
    </xf>
    <xf numFmtId="0" fontId="15" fillId="0" borderId="0" xfId="0" applyFont="1"/>
    <xf numFmtId="0" fontId="4" fillId="3" borderId="0" xfId="0" applyFont="1" applyFill="1"/>
    <xf numFmtId="0" fontId="0" fillId="4" borderId="0" xfId="0" applyFill="1" applyAlignment="1">
      <alignment horizontal="left"/>
    </xf>
    <xf numFmtId="0" fontId="0" fillId="0" borderId="0" xfId="0" applyAlignment="1">
      <alignment horizontal="left"/>
    </xf>
    <xf numFmtId="0" fontId="2" fillId="7" borderId="0" xfId="0" applyFont="1" applyFill="1"/>
    <xf numFmtId="0" fontId="4" fillId="7" borderId="0" xfId="0" applyFont="1" applyFill="1"/>
    <xf numFmtId="0" fontId="4" fillId="7" borderId="0" xfId="0" applyFont="1" applyFill="1" applyAlignment="1">
      <alignment horizontal="center"/>
    </xf>
    <xf numFmtId="3" fontId="0" fillId="0" borderId="0" xfId="0" applyNumberFormat="1"/>
    <xf numFmtId="3" fontId="0" fillId="0" borderId="1" xfId="0" applyNumberFormat="1" applyBorder="1"/>
    <xf numFmtId="3" fontId="0" fillId="0" borderId="11" xfId="0" applyNumberFormat="1" applyBorder="1"/>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xf numFmtId="3" fontId="0" fillId="0" borderId="8" xfId="0" applyNumberFormat="1" applyBorder="1"/>
    <xf numFmtId="3" fontId="0" fillId="0" borderId="9" xfId="0" applyNumberFormat="1" applyBorder="1"/>
    <xf numFmtId="3" fontId="0" fillId="0" borderId="10" xfId="0" applyNumberFormat="1" applyBorder="1"/>
    <xf numFmtId="0" fontId="0" fillId="0" borderId="20" xfId="0" applyBorder="1"/>
    <xf numFmtId="0" fontId="0" fillId="0" borderId="21" xfId="0" applyBorder="1"/>
    <xf numFmtId="0" fontId="20" fillId="7" borderId="0" xfId="0" applyFont="1" applyFill="1"/>
    <xf numFmtId="0" fontId="4" fillId="8" borderId="0" xfId="0" applyFont="1" applyFill="1"/>
    <xf numFmtId="0" fontId="0" fillId="2" borderId="0" xfId="0" applyFill="1" applyAlignment="1">
      <alignment horizontal="center"/>
    </xf>
    <xf numFmtId="3" fontId="0" fillId="2" borderId="0" xfId="0" applyNumberFormat="1" applyFill="1"/>
    <xf numFmtId="9" fontId="0" fillId="0" borderId="0" xfId="0" applyNumberFormat="1" applyAlignment="1">
      <alignment horizontal="center"/>
    </xf>
    <xf numFmtId="0" fontId="0" fillId="2" borderId="0" xfId="0" applyFill="1" applyAlignment="1">
      <alignment horizontal="right"/>
    </xf>
    <xf numFmtId="0" fontId="5" fillId="0" borderId="4" xfId="0" applyFont="1" applyBorder="1" applyAlignment="1">
      <alignment horizontal="left" wrapText="1"/>
    </xf>
    <xf numFmtId="0" fontId="5" fillId="0" borderId="0" xfId="0" applyFont="1" applyAlignment="1">
      <alignment horizontal="left" wrapText="1"/>
    </xf>
    <xf numFmtId="0" fontId="0" fillId="0" borderId="0" xfId="0" applyAlignment="1">
      <alignment wrapText="1"/>
    </xf>
    <xf numFmtId="0" fontId="3" fillId="0" borderId="0" xfId="0" applyFont="1"/>
    <xf numFmtId="0" fontId="0" fillId="9" borderId="0" xfId="0" applyFill="1"/>
    <xf numFmtId="0" fontId="28" fillId="0" borderId="0" xfId="0" applyFont="1"/>
    <xf numFmtId="0" fontId="0" fillId="0" borderId="0" xfId="0" applyAlignment="1">
      <alignment horizontal="left" wrapText="1"/>
    </xf>
    <xf numFmtId="0" fontId="27" fillId="0" borderId="0" xfId="0" applyFont="1"/>
    <xf numFmtId="6" fontId="1" fillId="0" borderId="0" xfId="0" applyNumberFormat="1" applyFont="1" applyAlignment="1">
      <alignment horizontal="center" vertical="center" wrapText="1"/>
    </xf>
    <xf numFmtId="0" fontId="23" fillId="11" borderId="26" xfId="0" applyFont="1" applyFill="1" applyBorder="1" applyAlignment="1">
      <alignment horizontal="center" vertical="center" wrapText="1"/>
    </xf>
    <xf numFmtId="6" fontId="1" fillId="0" borderId="8" xfId="0" applyNumberFormat="1" applyFont="1" applyBorder="1" applyAlignment="1">
      <alignment horizontal="center" vertical="center" wrapText="1"/>
    </xf>
    <xf numFmtId="6" fontId="1" fillId="0" borderId="11" xfId="0" applyNumberFormat="1" applyFont="1" applyBorder="1" applyAlignment="1">
      <alignment horizontal="center" vertical="center" wrapText="1"/>
    </xf>
    <xf numFmtId="0" fontId="2" fillId="0" borderId="0" xfId="0" applyFont="1" applyAlignment="1">
      <alignment horizontal="left" wrapText="1"/>
    </xf>
    <xf numFmtId="0" fontId="26" fillId="0" borderId="0" xfId="4" applyFont="1" applyFill="1" applyBorder="1" applyAlignment="1" applyProtection="1">
      <alignment horizontal="center" vertical="center" wrapText="1"/>
    </xf>
    <xf numFmtId="6" fontId="1" fillId="0" borderId="13" xfId="0" applyNumberFormat="1"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xf>
    <xf numFmtId="6" fontId="0" fillId="0" borderId="1" xfId="0" applyNumberFormat="1" applyBorder="1" applyAlignment="1">
      <alignment horizontal="right" indent="2"/>
    </xf>
    <xf numFmtId="6" fontId="0" fillId="0" borderId="0" xfId="0" applyNumberFormat="1" applyAlignment="1">
      <alignment horizontal="left" indent="3"/>
    </xf>
    <xf numFmtId="0" fontId="21" fillId="0" borderId="0" xfId="0" applyFont="1"/>
    <xf numFmtId="6" fontId="21" fillId="0" borderId="1" xfId="0" applyNumberFormat="1" applyFont="1" applyBorder="1" applyAlignment="1">
      <alignment horizontal="right" indent="2"/>
    </xf>
    <xf numFmtId="6" fontId="21" fillId="0" borderId="0" xfId="0" applyNumberFormat="1" applyFont="1" applyAlignment="1">
      <alignment horizontal="left" indent="3"/>
    </xf>
    <xf numFmtId="0" fontId="2" fillId="9" borderId="0" xfId="0" applyFont="1" applyFill="1" applyAlignment="1">
      <alignment horizontal="center"/>
    </xf>
    <xf numFmtId="0" fontId="8" fillId="0" borderId="0" xfId="0" applyFont="1"/>
    <xf numFmtId="0" fontId="2" fillId="0" borderId="0" xfId="0" applyFont="1" applyAlignment="1">
      <alignment horizontal="center" wrapText="1"/>
    </xf>
    <xf numFmtId="164" fontId="0" fillId="0" borderId="0" xfId="1" applyNumberFormat="1" applyFont="1" applyBorder="1" applyProtection="1"/>
    <xf numFmtId="0" fontId="0" fillId="0" borderId="0" xfId="0" applyAlignment="1">
      <alignment horizontal="right"/>
    </xf>
    <xf numFmtId="0" fontId="2" fillId="0" borderId="3" xfId="0" applyFont="1" applyBorder="1" applyAlignment="1">
      <alignment horizontal="center"/>
    </xf>
    <xf numFmtId="0" fontId="2" fillId="0" borderId="4" xfId="0" applyFont="1" applyBorder="1" applyAlignment="1">
      <alignment horizontal="center"/>
    </xf>
    <xf numFmtId="165" fontId="0" fillId="0" borderId="1" xfId="0" applyNumberFormat="1" applyBorder="1"/>
    <xf numFmtId="165" fontId="0" fillId="0" borderId="4" xfId="0" applyNumberFormat="1" applyBorder="1"/>
    <xf numFmtId="165" fontId="0" fillId="0" borderId="0" xfId="0" applyNumberFormat="1"/>
    <xf numFmtId="166" fontId="0" fillId="0" borderId="1" xfId="2" applyNumberFormat="1" applyFont="1" applyBorder="1" applyProtection="1"/>
    <xf numFmtId="166" fontId="0" fillId="0" borderId="3" xfId="2" applyNumberFormat="1" applyFont="1" applyBorder="1" applyProtection="1"/>
    <xf numFmtId="166" fontId="0" fillId="0" borderId="4" xfId="2" applyNumberFormat="1" applyFont="1" applyBorder="1" applyProtection="1"/>
    <xf numFmtId="166" fontId="0" fillId="0" borderId="0" xfId="2" applyNumberFormat="1" applyFont="1" applyBorder="1" applyProtection="1"/>
    <xf numFmtId="0" fontId="8" fillId="0" borderId="0" xfId="0" applyFont="1" applyAlignment="1">
      <alignment horizontal="left" wrapText="1"/>
    </xf>
    <xf numFmtId="0" fontId="0" fillId="0" borderId="0" xfId="0" applyAlignment="1">
      <alignment vertical="top" wrapText="1"/>
    </xf>
    <xf numFmtId="0" fontId="0" fillId="0" borderId="22" xfId="0" applyBorder="1" applyAlignment="1">
      <alignment vertical="center" wrapText="1"/>
    </xf>
    <xf numFmtId="0" fontId="0" fillId="0" borderId="23" xfId="0" applyBorder="1" applyAlignment="1">
      <alignment horizontal="center" wrapText="1"/>
    </xf>
    <xf numFmtId="0" fontId="0" fillId="0" borderId="23" xfId="0" applyBorder="1" applyAlignment="1">
      <alignment horizontal="center" vertical="center" wrapText="1"/>
    </xf>
    <xf numFmtId="0" fontId="0" fillId="0" borderId="24" xfId="0" applyBorder="1" applyAlignment="1">
      <alignment horizontal="center"/>
    </xf>
    <xf numFmtId="0" fontId="0" fillId="0" borderId="5" xfId="0" applyBorder="1" applyAlignment="1">
      <alignment horizontal="center"/>
    </xf>
    <xf numFmtId="0" fontId="0" fillId="0" borderId="5" xfId="0" applyBorder="1"/>
    <xf numFmtId="0" fontId="0" fillId="9" borderId="0" xfId="0" applyFill="1" applyAlignment="1" applyProtection="1">
      <alignment wrapText="1"/>
      <protection locked="0"/>
    </xf>
    <xf numFmtId="9" fontId="0" fillId="9" borderId="0" xfId="0" applyNumberFormat="1" applyFill="1" applyAlignment="1" applyProtection="1">
      <alignment horizontal="center" wrapText="1"/>
      <protection locked="0"/>
    </xf>
    <xf numFmtId="0" fontId="29" fillId="0" borderId="0" xfId="0" applyFont="1" applyAlignment="1" applyProtection="1">
      <alignment horizontal="center"/>
      <protection locked="0"/>
    </xf>
    <xf numFmtId="0" fontId="30" fillId="0" borderId="0" xfId="0" applyFont="1" applyAlignment="1" applyProtection="1">
      <alignment horizontal="center"/>
      <protection locked="0"/>
    </xf>
    <xf numFmtId="0" fontId="10" fillId="0" borderId="0" xfId="3" applyFill="1"/>
    <xf numFmtId="0" fontId="10" fillId="0" borderId="0" xfId="3" applyFill="1" applyAlignment="1">
      <alignment horizontal="left"/>
    </xf>
    <xf numFmtId="0" fontId="2" fillId="0" borderId="0" xfId="0" applyFont="1" applyAlignment="1">
      <alignment horizontal="right" wrapText="1"/>
    </xf>
    <xf numFmtId="0" fontId="31" fillId="0" borderId="1"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14" xfId="4" applyFont="1" applyFill="1" applyBorder="1" applyAlignment="1" applyProtection="1">
      <alignment horizontal="center" vertical="center" wrapText="1"/>
    </xf>
    <xf numFmtId="0" fontId="31" fillId="0" borderId="15" xfId="4" applyFont="1" applyFill="1" applyBorder="1" applyAlignment="1" applyProtection="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8" fillId="0" borderId="0" xfId="0" applyFont="1" applyAlignment="1">
      <alignment horizontal="left" wrapText="1"/>
    </xf>
    <xf numFmtId="0" fontId="2" fillId="9" borderId="0" xfId="0" applyFont="1" applyFill="1" applyAlignment="1">
      <alignment horizontal="center"/>
    </xf>
    <xf numFmtId="0" fontId="9" fillId="9" borderId="0" xfId="0" applyFont="1" applyFill="1" applyAlignment="1">
      <alignment horizontal="center"/>
    </xf>
    <xf numFmtId="0" fontId="25" fillId="0" borderId="0" xfId="0" applyFont="1" applyAlignment="1">
      <alignment horizontal="center" vertical="center" wrapText="1"/>
    </xf>
    <xf numFmtId="0" fontId="23" fillId="11" borderId="26"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 fillId="0" borderId="0" xfId="0" applyFont="1" applyAlignment="1">
      <alignment horizontal="center" wrapText="1"/>
    </xf>
    <xf numFmtId="0" fontId="31" fillId="0" borderId="1" xfId="0" applyFont="1" applyBorder="1" applyAlignment="1">
      <alignment horizontal="center" vertical="center" wrapText="1"/>
    </xf>
    <xf numFmtId="0" fontId="31" fillId="0" borderId="12" xfId="0" applyFont="1" applyBorder="1" applyAlignment="1">
      <alignment horizontal="center" vertical="center" wrapText="1"/>
    </xf>
    <xf numFmtId="0" fontId="0" fillId="0" borderId="0" xfId="0" applyAlignment="1">
      <alignment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2" xfId="0" applyFont="1" applyBorder="1" applyAlignment="1">
      <alignment horizontal="center" vertical="center" wrapText="1"/>
    </xf>
  </cellXfs>
  <cellStyles count="25">
    <cellStyle name="Bad" xfId="4" builtinId="27"/>
    <cellStyle name="Comma" xfId="1" builtinId="3"/>
    <cellStyle name="Currency" xfId="2" builtinId="4"/>
    <cellStyle name="Followed Hyperlink" xfId="10" builtinId="9" hidden="1"/>
    <cellStyle name="Followed Hyperlink" xfId="12" builtinId="9" hidden="1"/>
    <cellStyle name="Followed Hyperlink" xfId="13" builtinId="9" hidden="1"/>
    <cellStyle name="Followed Hyperlink" xfId="11" builtinId="9" hidden="1"/>
    <cellStyle name="Followed Hyperlink" xfId="7" builtinId="9" hidden="1"/>
    <cellStyle name="Followed Hyperlink" xfId="8" builtinId="9" hidden="1"/>
    <cellStyle name="Followed Hyperlink" xfId="5" builtinId="9" hidden="1"/>
    <cellStyle name="Followed Hyperlink" xfId="6" builtinId="9" hidden="1"/>
    <cellStyle name="Followed Hyperlink" xfId="14" builtinId="9" hidden="1"/>
    <cellStyle name="Followed Hyperlink" xfId="9" builtinId="9" hidden="1"/>
    <cellStyle name="Followed Hyperlink" xfId="21" builtinId="9" hidden="1"/>
    <cellStyle name="Followed Hyperlink" xfId="22" builtinId="9" hidden="1"/>
    <cellStyle name="Followed Hyperlink" xfId="23" builtinId="9" hidden="1"/>
    <cellStyle name="Followed Hyperlink" xfId="19" builtinId="9" hidden="1"/>
    <cellStyle name="Followed Hyperlink" xfId="15" builtinId="9" hidden="1"/>
    <cellStyle name="Followed Hyperlink" xfId="24" builtinId="9" hidden="1"/>
    <cellStyle name="Followed Hyperlink" xfId="18" builtinId="9" hidden="1"/>
    <cellStyle name="Followed Hyperlink" xfId="20" builtinId="9" hidden="1"/>
    <cellStyle name="Followed Hyperlink" xfId="17" builtinId="9" hidden="1"/>
    <cellStyle name="Followed Hyperlink" xfId="16" builtinId="9" hidden="1"/>
    <cellStyle name="Hyperlink" xfId="3" builtinId="8"/>
    <cellStyle name="Normal" xfId="0" builtinId="0"/>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4"/>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3CF828"/>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38100</xdr:rowOff>
    </xdr:from>
    <xdr:to>
      <xdr:col>12</xdr:col>
      <xdr:colOff>100915</xdr:colOff>
      <xdr:row>24</xdr:row>
      <xdr:rowOff>163749</xdr:rowOff>
    </xdr:to>
    <xdr:grpSp>
      <xdr:nvGrpSpPr>
        <xdr:cNvPr id="13" name="Group 12">
          <a:extLst>
            <a:ext uri="{FF2B5EF4-FFF2-40B4-BE49-F238E27FC236}">
              <a16:creationId xmlns:a16="http://schemas.microsoft.com/office/drawing/2014/main" id="{571CA880-74E0-45E3-99FD-62A109AA447A}"/>
            </a:ext>
          </a:extLst>
        </xdr:cNvPr>
        <xdr:cNvGrpSpPr/>
      </xdr:nvGrpSpPr>
      <xdr:grpSpPr>
        <a:xfrm>
          <a:off x="0" y="2479322"/>
          <a:ext cx="8228915" cy="2496316"/>
          <a:chOff x="907474" y="1268015"/>
          <a:chExt cx="7416115" cy="2320209"/>
        </a:xfrm>
      </xdr:grpSpPr>
      <xdr:sp macro="" textlink="">
        <xdr:nvSpPr>
          <xdr:cNvPr id="14" name="Rectangle 13">
            <a:extLst>
              <a:ext uri="{FF2B5EF4-FFF2-40B4-BE49-F238E27FC236}">
                <a16:creationId xmlns:a16="http://schemas.microsoft.com/office/drawing/2014/main" id="{6A3F9F2D-5CB2-407C-B2EF-2CAA1DE046FD}"/>
              </a:ext>
            </a:extLst>
          </xdr:cNvPr>
          <xdr:cNvSpPr/>
        </xdr:nvSpPr>
        <xdr:spPr>
          <a:xfrm>
            <a:off x="976745" y="1268015"/>
            <a:ext cx="7259782" cy="4222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Assessment of Access Needs</a:t>
            </a:r>
          </a:p>
        </xdr:txBody>
      </xdr:sp>
      <xdr:grpSp>
        <xdr:nvGrpSpPr>
          <xdr:cNvPr id="15" name="Group 14">
            <a:extLst>
              <a:ext uri="{FF2B5EF4-FFF2-40B4-BE49-F238E27FC236}">
                <a16:creationId xmlns:a16="http://schemas.microsoft.com/office/drawing/2014/main" id="{063C5D56-1E88-47CB-8CCB-8FDB083B2A6B}"/>
              </a:ext>
            </a:extLst>
          </xdr:cNvPr>
          <xdr:cNvGrpSpPr/>
        </xdr:nvGrpSpPr>
        <xdr:grpSpPr>
          <a:xfrm>
            <a:off x="976744" y="1794274"/>
            <a:ext cx="7259782" cy="616487"/>
            <a:chOff x="1683327" y="1794274"/>
            <a:chExt cx="4795272" cy="616487"/>
          </a:xfrm>
        </xdr:grpSpPr>
        <xdr:sp macro="" textlink="">
          <xdr:nvSpPr>
            <xdr:cNvPr id="21" name="Flowchart: Off-page Connector 20">
              <a:extLst>
                <a:ext uri="{FF2B5EF4-FFF2-40B4-BE49-F238E27FC236}">
                  <a16:creationId xmlns:a16="http://schemas.microsoft.com/office/drawing/2014/main" id="{D5D5B019-EFF9-4F65-80E7-06C56A073F82}"/>
                </a:ext>
              </a:extLst>
            </xdr:cNvPr>
            <xdr:cNvSpPr/>
          </xdr:nvSpPr>
          <xdr:spPr>
            <a:xfrm>
              <a:off x="1683327"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t>What is the estimated impact of the coming pipeline of treatments on your business?</a:t>
              </a:r>
            </a:p>
          </xdr:txBody>
        </xdr:sp>
        <xdr:sp macro="" textlink="">
          <xdr:nvSpPr>
            <xdr:cNvPr id="22" name="Flowchart: Off-page Connector 21">
              <a:extLst>
                <a:ext uri="{FF2B5EF4-FFF2-40B4-BE49-F238E27FC236}">
                  <a16:creationId xmlns:a16="http://schemas.microsoft.com/office/drawing/2014/main" id="{9EC69EB1-525F-4EFF-9C92-B72D104FEE6C}"/>
                </a:ext>
              </a:extLst>
            </xdr:cNvPr>
            <xdr:cNvSpPr/>
          </xdr:nvSpPr>
          <xdr:spPr>
            <a:xfrm>
              <a:off x="2912824"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t>Can the impact be handled through your current approaches?</a:t>
              </a:r>
            </a:p>
          </xdr:txBody>
        </xdr:sp>
        <xdr:sp macro="" textlink="">
          <xdr:nvSpPr>
            <xdr:cNvPr id="23" name="Flowchart: Off-page Connector 22">
              <a:extLst>
                <a:ext uri="{FF2B5EF4-FFF2-40B4-BE49-F238E27FC236}">
                  <a16:creationId xmlns:a16="http://schemas.microsoft.com/office/drawing/2014/main" id="{E426703E-F445-455B-AE30-877E248A5C99}"/>
                </a:ext>
              </a:extLst>
            </xdr:cNvPr>
            <xdr:cNvSpPr/>
          </xdr:nvSpPr>
          <xdr:spPr>
            <a:xfrm>
              <a:off x="4125006"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t>Which precision financing solutions might help?</a:t>
              </a:r>
            </a:p>
          </xdr:txBody>
        </xdr:sp>
        <xdr:sp macro="" textlink="">
          <xdr:nvSpPr>
            <xdr:cNvPr id="24" name="Flowchart: Off-page Connector 23">
              <a:extLst>
                <a:ext uri="{FF2B5EF4-FFF2-40B4-BE49-F238E27FC236}">
                  <a16:creationId xmlns:a16="http://schemas.microsoft.com/office/drawing/2014/main" id="{D104D05B-7E89-4FEC-99D3-54DE97B40E62}"/>
                </a:ext>
              </a:extLst>
            </xdr:cNvPr>
            <xdr:cNvSpPr/>
          </xdr:nvSpPr>
          <xdr:spPr>
            <a:xfrm>
              <a:off x="5335599"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t>Do you need to adapt other elements of your approach for this therapy?</a:t>
              </a:r>
            </a:p>
          </xdr:txBody>
        </xdr:sp>
      </xdr:grpSp>
      <xdr:sp macro="" textlink="">
        <xdr:nvSpPr>
          <xdr:cNvPr id="16" name="Rectangle 15">
            <a:extLst>
              <a:ext uri="{FF2B5EF4-FFF2-40B4-BE49-F238E27FC236}">
                <a16:creationId xmlns:a16="http://schemas.microsoft.com/office/drawing/2014/main" id="{C195F3FF-95F5-4EF9-A06A-0FA3049B6EDB}"/>
              </a:ext>
            </a:extLst>
          </xdr:cNvPr>
          <xdr:cNvSpPr/>
        </xdr:nvSpPr>
        <xdr:spPr>
          <a:xfrm>
            <a:off x="976745" y="1268015"/>
            <a:ext cx="7259782" cy="422240"/>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Payer Assessment:  Pipeline</a:t>
            </a:r>
          </a:p>
        </xdr:txBody>
      </xdr:sp>
      <xdr:sp macro="" textlink="">
        <xdr:nvSpPr>
          <xdr:cNvPr id="17" name="TextBox 10">
            <a:extLst>
              <a:ext uri="{FF2B5EF4-FFF2-40B4-BE49-F238E27FC236}">
                <a16:creationId xmlns:a16="http://schemas.microsoft.com/office/drawing/2014/main" id="{9BC6C7EB-3AB4-4EAD-8B5A-BD17FAA0576F}"/>
              </a:ext>
            </a:extLst>
          </xdr:cNvPr>
          <xdr:cNvSpPr txBox="1"/>
        </xdr:nvSpPr>
        <xdr:spPr>
          <a:xfrm>
            <a:off x="907474" y="2387895"/>
            <a:ext cx="1799709" cy="120032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What is the potential landscape of durable, curative therapies over the foreseeable future?</a:t>
            </a:r>
          </a:p>
          <a:p>
            <a:pPr marL="112713" indent="-112713">
              <a:buFont typeface="Arial" panose="020B0604020202020204" pitchFamily="34" charset="0"/>
              <a:buChar char="•"/>
            </a:pPr>
            <a:r>
              <a:rPr lang="en-US" sz="900"/>
              <a:t>What is the estimated patient volume and PMPM cost over time for your plan?</a:t>
            </a:r>
          </a:p>
          <a:p>
            <a:pPr marL="112713" indent="-112713">
              <a:buFont typeface="Arial" panose="020B0604020202020204" pitchFamily="34" charset="0"/>
              <a:buChar char="•"/>
            </a:pPr>
            <a:r>
              <a:rPr lang="en-US" sz="900"/>
              <a:t>What are other factors to consider?</a:t>
            </a:r>
          </a:p>
        </xdr:txBody>
      </xdr:sp>
      <xdr:sp macro="" textlink="">
        <xdr:nvSpPr>
          <xdr:cNvPr id="18" name="TextBox 11">
            <a:extLst>
              <a:ext uri="{FF2B5EF4-FFF2-40B4-BE49-F238E27FC236}">
                <a16:creationId xmlns:a16="http://schemas.microsoft.com/office/drawing/2014/main" id="{78E85FAE-F324-4317-990A-8726DEA09B3F}"/>
              </a:ext>
            </a:extLst>
          </xdr:cNvPr>
          <xdr:cNvSpPr txBox="1"/>
        </xdr:nvSpPr>
        <xdr:spPr>
          <a:xfrm>
            <a:off x="2848416" y="2387895"/>
            <a:ext cx="1727010" cy="92333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Are current approaches sufficient to address risks?</a:t>
            </a:r>
          </a:p>
          <a:p>
            <a:pPr marL="290512" lvl="1" indent="-171450">
              <a:buFont typeface="Calibri" panose="020F0502020204030204" pitchFamily="34" charset="0"/>
              <a:buChar char="‒"/>
            </a:pPr>
            <a:r>
              <a:rPr lang="en-US" sz="900"/>
              <a:t>Actuarial Risk</a:t>
            </a:r>
          </a:p>
          <a:p>
            <a:pPr marL="290512" lvl="1" indent="-171450">
              <a:buFont typeface="Calibri" panose="020F0502020204030204" pitchFamily="34" charset="0"/>
              <a:buChar char="‒"/>
            </a:pPr>
            <a:r>
              <a:rPr lang="en-US" sz="900"/>
              <a:t>Payment Timing</a:t>
            </a:r>
          </a:p>
          <a:p>
            <a:pPr marL="290512" lvl="1" indent="-171450">
              <a:buFont typeface="Calibri" panose="020F0502020204030204" pitchFamily="34" charset="0"/>
              <a:buChar char="‒"/>
            </a:pPr>
            <a:r>
              <a:rPr lang="en-US" sz="900"/>
              <a:t>Performance Uncertainty</a:t>
            </a:r>
          </a:p>
          <a:p>
            <a:pPr marL="290512" lvl="1" indent="-171450">
              <a:buFont typeface="Calibri" panose="020F0502020204030204" pitchFamily="34" charset="0"/>
              <a:buChar char="‒"/>
            </a:pPr>
            <a:r>
              <a:rPr lang="en-US" sz="900"/>
              <a:t>Executional Risk</a:t>
            </a:r>
          </a:p>
        </xdr:txBody>
      </xdr:sp>
      <xdr:sp macro="" textlink="">
        <xdr:nvSpPr>
          <xdr:cNvPr id="19" name="TextBox 12">
            <a:extLst>
              <a:ext uri="{FF2B5EF4-FFF2-40B4-BE49-F238E27FC236}">
                <a16:creationId xmlns:a16="http://schemas.microsoft.com/office/drawing/2014/main" id="{06A1B08E-EAB7-424A-85D8-5D62F7B25D93}"/>
              </a:ext>
            </a:extLst>
          </xdr:cNvPr>
          <xdr:cNvSpPr txBox="1"/>
        </xdr:nvSpPr>
        <xdr:spPr>
          <a:xfrm>
            <a:off x="4517139" y="2394822"/>
            <a:ext cx="2121646" cy="92333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What are high potential precision financing solutions?</a:t>
            </a:r>
          </a:p>
          <a:p>
            <a:pPr marL="290512" lvl="1" indent="-171450">
              <a:buFont typeface="Calibri" panose="020F0502020204030204" pitchFamily="34" charset="0"/>
              <a:buChar char="‒"/>
            </a:pPr>
            <a:r>
              <a:rPr lang="en-US" sz="900"/>
              <a:t>Actuarial risk management</a:t>
            </a:r>
          </a:p>
          <a:p>
            <a:pPr marL="290512" lvl="1" indent="-171450">
              <a:buFont typeface="Calibri" panose="020F0502020204030204" pitchFamily="34" charset="0"/>
              <a:buChar char="‒"/>
            </a:pPr>
            <a:r>
              <a:rPr lang="en-US" sz="900"/>
              <a:t>Alternative payment models</a:t>
            </a:r>
          </a:p>
          <a:p>
            <a:pPr marL="112713" lvl="1" indent="-112713">
              <a:buFont typeface="Arial" panose="020B0604020202020204" pitchFamily="34" charset="0"/>
              <a:buChar char="•"/>
            </a:pPr>
            <a:r>
              <a:rPr lang="en-US" sz="900"/>
              <a:t>What external capabilities might be needed?</a:t>
            </a:r>
          </a:p>
        </xdr:txBody>
      </xdr:sp>
      <xdr:sp macro="" textlink="">
        <xdr:nvSpPr>
          <xdr:cNvPr id="20" name="TextBox 13">
            <a:extLst>
              <a:ext uri="{FF2B5EF4-FFF2-40B4-BE49-F238E27FC236}">
                <a16:creationId xmlns:a16="http://schemas.microsoft.com/office/drawing/2014/main" id="{E87A02B0-9711-412A-962E-E459C122BC3D}"/>
              </a:ext>
            </a:extLst>
          </xdr:cNvPr>
          <xdr:cNvSpPr txBox="1"/>
        </xdr:nvSpPr>
        <xdr:spPr>
          <a:xfrm>
            <a:off x="6507961" y="2387895"/>
            <a:ext cx="1815628"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Performance Contract Design</a:t>
            </a:r>
          </a:p>
          <a:p>
            <a:pPr marL="112713" indent="-112713">
              <a:buFont typeface="Arial" panose="020B0604020202020204" pitchFamily="34" charset="0"/>
              <a:buChar char="•"/>
            </a:pPr>
            <a:r>
              <a:rPr lang="en-US" sz="900"/>
              <a:t>Delivery Networks and Policies</a:t>
            </a:r>
          </a:p>
          <a:p>
            <a:pPr marL="112713" indent="-112713">
              <a:buFont typeface="Arial" panose="020B0604020202020204" pitchFamily="34" charset="0"/>
              <a:buChar char="•"/>
            </a:pPr>
            <a:r>
              <a:rPr lang="en-US" sz="900"/>
              <a:t>Provider Reimbursement</a:t>
            </a:r>
          </a:p>
          <a:p>
            <a:pPr marL="112713" indent="-112713">
              <a:buFont typeface="Arial" panose="020B0604020202020204" pitchFamily="34" charset="0"/>
              <a:buChar char="•"/>
            </a:pPr>
            <a:r>
              <a:rPr lang="en-US" sz="900"/>
              <a:t>Benefit Design and Coding</a:t>
            </a:r>
          </a:p>
        </xdr:txBody>
      </xdr:sp>
    </xdr:grpSp>
    <xdr:clientData/>
  </xdr:twoCellAnchor>
  <xdr:twoCellAnchor>
    <xdr:from>
      <xdr:col>0</xdr:col>
      <xdr:colOff>0</xdr:colOff>
      <xdr:row>42</xdr:row>
      <xdr:rowOff>106680</xdr:rowOff>
    </xdr:from>
    <xdr:to>
      <xdr:col>8</xdr:col>
      <xdr:colOff>251460</xdr:colOff>
      <xdr:row>53</xdr:row>
      <xdr:rowOff>121920</xdr:rowOff>
    </xdr:to>
    <xdr:pic>
      <xdr:nvPicPr>
        <xdr:cNvPr id="25" name="Picture 25">
          <a:extLst>
            <a:ext uri="{FF2B5EF4-FFF2-40B4-BE49-F238E27FC236}">
              <a16:creationId xmlns:a16="http://schemas.microsoft.com/office/drawing/2014/main" id="{D62124EE-ECA0-4FBE-BF9E-075EC3E61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8880"/>
          <a:ext cx="5128260" cy="215730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75</xdr:row>
      <xdr:rowOff>44450</xdr:rowOff>
    </xdr:from>
    <xdr:to>
      <xdr:col>3</xdr:col>
      <xdr:colOff>588010</xdr:colOff>
      <xdr:row>96</xdr:row>
      <xdr:rowOff>154090</xdr:rowOff>
    </xdr:to>
    <xdr:pic>
      <xdr:nvPicPr>
        <xdr:cNvPr id="3" name="Picture 2">
          <a:extLst>
            <a:ext uri="{FF2B5EF4-FFF2-40B4-BE49-F238E27FC236}">
              <a16:creationId xmlns:a16="http://schemas.microsoft.com/office/drawing/2014/main" id="{787E4F5E-159B-4E62-B86C-6882F30C3A6E}"/>
            </a:ext>
          </a:extLst>
        </xdr:cNvPr>
        <xdr:cNvPicPr>
          <a:picLocks noChangeAspect="1"/>
        </xdr:cNvPicPr>
      </xdr:nvPicPr>
      <xdr:blipFill>
        <a:blip xmlns:r="http://schemas.openxmlformats.org/officeDocument/2006/relationships" r:embed="rId1"/>
        <a:stretch>
          <a:fillRect/>
        </a:stretch>
      </xdr:blipFill>
      <xdr:spPr>
        <a:xfrm>
          <a:off x="139700" y="14668500"/>
          <a:ext cx="5854700" cy="3957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A6" totalsRowShown="0" headerRowDxfId="14" dataDxfId="13">
  <autoFilter ref="A4:A6" xr:uid="{00000000-0009-0000-0100-000001000000}"/>
  <tableColumns count="1">
    <tableColumn id="1" xr3:uid="{00000000-0010-0000-0000-000001000000}" name="Y/N Responses"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8:A20" totalsRowShown="0" headerRowDxfId="11" dataDxfId="10">
  <autoFilter ref="A18:A20" xr:uid="{00000000-0009-0000-0100-000002000000}"/>
  <tableColumns count="1">
    <tableColumn id="1" xr3:uid="{00000000-0010-0000-0100-000001000000}" name="Y/N Respons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8:A10" totalsRowShown="0" headerRowDxfId="8" dataDxfId="7">
  <autoFilter ref="A8:A10" xr:uid="{00000000-0009-0000-0100-000003000000}"/>
  <tableColumns count="1">
    <tableColumn id="1" xr3:uid="{00000000-0010-0000-0200-000001000000}" name="Known/Estimated"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5" displayName="Table15" ref="A12:A14" totalsRowShown="0" headerRowDxfId="5" dataDxfId="4">
  <autoFilter ref="A12:A14" xr:uid="{00000000-0009-0000-0100-000004000000}"/>
  <tableColumns count="1">
    <tableColumn id="1" xr3:uid="{00000000-0010-0000-0300-000001000000}" name="Yes/No Responses"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22:A24" totalsRowShown="0" headerRowDxfId="2" dataDxfId="1">
  <autoFilter ref="A22:A24" xr:uid="{00000000-0009-0000-0100-000005000000}"/>
  <tableColumns count="1">
    <tableColumn id="1" xr3:uid="{00000000-0010-0000-0400-000001000000}" name="Y/N Respons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uftsmcnewdigs@tuftsmedicalcenter.org" TargetMode="External"/><Relationship Id="rId1" Type="http://schemas.openxmlformats.org/officeDocument/2006/relationships/hyperlink" Target="mailto:tuftsmcnewdigs@tuftsmedicalcenter.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newdigs.tuftsmedicalcenter.org/payingforcures/defining-disruption/estimation-methodolog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newdigs.tuftsmedicalcenter.org/payingforcures/financing-therapies/precision-financing-solutions/risk-pools/" TargetMode="External"/><Relationship Id="rId3" Type="http://schemas.openxmlformats.org/officeDocument/2006/relationships/hyperlink" Target="https://newdigs.tuftsmedicalcenter.org/payingforcures/precision-financing-solutions/warranty/" TargetMode="External"/><Relationship Id="rId7" Type="http://schemas.openxmlformats.org/officeDocument/2006/relationships/hyperlink" Target="https://newdigs.tuftsmedicalcenter.org/payingforcures/financing-therapies/precision-financing-solutions/reinsurance/" TargetMode="External"/><Relationship Id="rId2" Type="http://schemas.openxmlformats.org/officeDocument/2006/relationships/hyperlink" Target="https://newdigs.tuftsmedicalcenter.org/payingforcures/financing-therapies/precision-financing-solutions/multiyear-milestone-based-contracts/" TargetMode="External"/><Relationship Id="rId1" Type="http://schemas.openxmlformats.org/officeDocument/2006/relationships/hyperlink" Target="https://newdigs.tuftsmedicalcenter.org/payingforcures/financing-therapies/precision-financing-solutions/milestone-based-contracts/" TargetMode="External"/><Relationship Id="rId6" Type="http://schemas.openxmlformats.org/officeDocument/2006/relationships/hyperlink" Target="https://newdigs.tuftsmedicalcenter.org/payingforcures/financing-therapies/precision-financing-solutions/subscription/" TargetMode="External"/><Relationship Id="rId5" Type="http://schemas.openxmlformats.org/officeDocument/2006/relationships/hyperlink" Target="https://newdigs.tuftsmedicalcenter.org/payingforcures/financing-therapies/precision-financing-solutions/performance-based-annuities/" TargetMode="External"/><Relationship Id="rId10" Type="http://schemas.openxmlformats.org/officeDocument/2006/relationships/drawing" Target="../drawings/drawing2.xml"/><Relationship Id="rId4" Type="http://schemas.openxmlformats.org/officeDocument/2006/relationships/hyperlink" Target="https://newdigs.tuftsmedicalcenter.org/payingforcures/financing-therapies/precision-financing-solutions/payment-over-time/"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62"/>
  <sheetViews>
    <sheetView showGridLines="0" topLeftCell="A136" workbookViewId="0">
      <selection activeCell="B167" sqref="B167"/>
    </sheetView>
  </sheetViews>
  <sheetFormatPr baseColWidth="10" defaultColWidth="8.83203125" defaultRowHeight="15"/>
  <cols>
    <col min="17" max="17" width="17.1640625" customWidth="1"/>
  </cols>
  <sheetData>
    <row r="1" spans="1:1">
      <c r="A1" s="17" t="s">
        <v>0</v>
      </c>
    </row>
    <row r="2" spans="1:1" ht="28">
      <c r="A2" s="18" t="s">
        <v>1</v>
      </c>
    </row>
    <row r="3" spans="1:1">
      <c r="A3" s="19" t="s">
        <v>2</v>
      </c>
    </row>
    <row r="5" spans="1:1">
      <c r="A5" s="20" t="s">
        <v>3</v>
      </c>
    </row>
    <row r="6" spans="1:1">
      <c r="A6" s="19" t="s">
        <v>4</v>
      </c>
    </row>
    <row r="7" spans="1:1">
      <c r="A7" s="19" t="s">
        <v>5</v>
      </c>
    </row>
    <row r="8" spans="1:1">
      <c r="A8" s="19" t="s">
        <v>6</v>
      </c>
    </row>
    <row r="9" spans="1:1">
      <c r="A9" s="19" t="s">
        <v>7</v>
      </c>
    </row>
    <row r="10" spans="1:1">
      <c r="A10" s="19" t="s">
        <v>8</v>
      </c>
    </row>
    <row r="11" spans="1:1">
      <c r="A11" s="19"/>
    </row>
    <row r="12" spans="1:1">
      <c r="A12" s="20" t="s">
        <v>9</v>
      </c>
    </row>
    <row r="13" spans="1:1">
      <c r="A13" s="19" t="s">
        <v>10</v>
      </c>
    </row>
    <row r="14" spans="1:1">
      <c r="A14" s="19" t="s">
        <v>11</v>
      </c>
    </row>
    <row r="16" spans="1:1">
      <c r="A16" s="20" t="s">
        <v>12</v>
      </c>
    </row>
    <row r="17" spans="1:1">
      <c r="A17" s="21" t="s">
        <v>13</v>
      </c>
    </row>
    <row r="18" spans="1:1">
      <c r="A18" s="22"/>
    </row>
    <row r="19" spans="1:1">
      <c r="A19" s="21" t="s">
        <v>14</v>
      </c>
    </row>
    <row r="20" spans="1:1">
      <c r="A20" s="21" t="s">
        <v>15</v>
      </c>
    </row>
    <row r="21" spans="1:1">
      <c r="A21" s="21" t="s">
        <v>16</v>
      </c>
    </row>
    <row r="22" spans="1:1">
      <c r="A22" s="22"/>
    </row>
    <row r="23" spans="1:1">
      <c r="A23" s="21" t="s">
        <v>17</v>
      </c>
    </row>
    <row r="24" spans="1:1">
      <c r="A24" s="21" t="s">
        <v>18</v>
      </c>
    </row>
    <row r="25" spans="1:1">
      <c r="A25" s="22"/>
    </row>
    <row r="26" spans="1:1">
      <c r="A26" s="21" t="s">
        <v>19</v>
      </c>
    </row>
    <row r="27" spans="1:1">
      <c r="A27" s="22"/>
    </row>
    <row r="28" spans="1:1">
      <c r="A28" s="21" t="s">
        <v>20</v>
      </c>
    </row>
    <row r="29" spans="1:1">
      <c r="A29" s="21" t="s">
        <v>21</v>
      </c>
    </row>
    <row r="31" spans="1:1">
      <c r="A31" s="20" t="s">
        <v>22</v>
      </c>
    </row>
    <row r="32" spans="1:1">
      <c r="A32" s="21" t="s">
        <v>23</v>
      </c>
    </row>
    <row r="33" spans="1:1">
      <c r="A33" s="23" t="s">
        <v>24</v>
      </c>
    </row>
    <row r="34" spans="1:1">
      <c r="A34" s="23" t="s">
        <v>25</v>
      </c>
    </row>
    <row r="35" spans="1:1">
      <c r="A35" s="22"/>
    </row>
    <row r="36" spans="1:1">
      <c r="A36" s="23" t="s">
        <v>26</v>
      </c>
    </row>
    <row r="37" spans="1:1">
      <c r="A37" s="22"/>
    </row>
    <row r="38" spans="1:1">
      <c r="A38" s="23" t="s">
        <v>27</v>
      </c>
    </row>
    <row r="39" spans="1:1">
      <c r="A39" s="23" t="s">
        <v>28</v>
      </c>
    </row>
    <row r="40" spans="1:1">
      <c r="A40" s="22"/>
    </row>
    <row r="41" spans="1:1">
      <c r="A41" s="21" t="s">
        <v>29</v>
      </c>
    </row>
    <row r="42" spans="1:1">
      <c r="A42" s="23" t="s">
        <v>30</v>
      </c>
    </row>
    <row r="43" spans="1:1">
      <c r="A43" s="22"/>
    </row>
    <row r="44" spans="1:1">
      <c r="A44" s="23" t="s">
        <v>31</v>
      </c>
    </row>
    <row r="45" spans="1:1">
      <c r="A45" s="22"/>
    </row>
    <row r="46" spans="1:1">
      <c r="A46" s="23" t="s">
        <v>32</v>
      </c>
    </row>
    <row r="47" spans="1:1">
      <c r="A47" s="22"/>
    </row>
    <row r="48" spans="1:1">
      <c r="A48" s="23" t="s">
        <v>33</v>
      </c>
    </row>
    <row r="49" spans="1:1">
      <c r="A49" s="23" t="s">
        <v>34</v>
      </c>
    </row>
    <row r="50" spans="1:1">
      <c r="A50" s="22"/>
    </row>
    <row r="51" spans="1:1">
      <c r="A51" s="23" t="s">
        <v>35</v>
      </c>
    </row>
    <row r="52" spans="1:1">
      <c r="A52" s="22"/>
    </row>
    <row r="53" spans="1:1">
      <c r="A53" s="23" t="s">
        <v>36</v>
      </c>
    </row>
    <row r="54" spans="1:1">
      <c r="A54" s="22"/>
    </row>
    <row r="55" spans="1:1">
      <c r="A55" s="23" t="s">
        <v>37</v>
      </c>
    </row>
    <row r="57" spans="1:1">
      <c r="A57" s="20" t="s">
        <v>38</v>
      </c>
    </row>
    <row r="58" spans="1:1">
      <c r="A58" s="21" t="s">
        <v>39</v>
      </c>
    </row>
    <row r="59" spans="1:1">
      <c r="A59" s="21" t="s">
        <v>40</v>
      </c>
    </row>
    <row r="60" spans="1:1">
      <c r="A60" s="21" t="s">
        <v>41</v>
      </c>
    </row>
    <row r="61" spans="1:1">
      <c r="A61" s="22"/>
    </row>
    <row r="62" spans="1:1">
      <c r="A62" s="21" t="s">
        <v>42</v>
      </c>
    </row>
    <row r="63" spans="1:1">
      <c r="A63" s="21" t="s">
        <v>43</v>
      </c>
    </row>
    <row r="64" spans="1:1">
      <c r="A64" s="21" t="s">
        <v>44</v>
      </c>
    </row>
    <row r="65" spans="1:1">
      <c r="A65" s="21" t="s">
        <v>45</v>
      </c>
    </row>
    <row r="66" spans="1:1">
      <c r="A66" s="22" t="s">
        <v>46</v>
      </c>
    </row>
    <row r="67" spans="1:1">
      <c r="A67" s="22" t="s">
        <v>47</v>
      </c>
    </row>
    <row r="68" spans="1:1">
      <c r="A68" s="22" t="s">
        <v>48</v>
      </c>
    </row>
    <row r="69" spans="1:1">
      <c r="A69" s="22" t="s">
        <v>49</v>
      </c>
    </row>
    <row r="70" spans="1:1">
      <c r="A70" s="22"/>
    </row>
    <row r="71" spans="1:1">
      <c r="A71" s="21" t="s">
        <v>50</v>
      </c>
    </row>
    <row r="72" spans="1:1">
      <c r="A72" s="21" t="s">
        <v>51</v>
      </c>
    </row>
    <row r="73" spans="1:1">
      <c r="A73" s="21"/>
    </row>
    <row r="74" spans="1:1">
      <c r="A74" s="21" t="s">
        <v>52</v>
      </c>
    </row>
    <row r="75" spans="1:1">
      <c r="A75" s="23" t="s">
        <v>53</v>
      </c>
    </row>
    <row r="76" spans="1:1">
      <c r="A76" s="22"/>
    </row>
    <row r="77" spans="1:1">
      <c r="A77" s="23" t="s">
        <v>54</v>
      </c>
    </row>
    <row r="78" spans="1:1">
      <c r="A78" s="22"/>
    </row>
    <row r="79" spans="1:1">
      <c r="A79" s="23" t="s">
        <v>55</v>
      </c>
    </row>
    <row r="80" spans="1:1">
      <c r="A80" s="22"/>
    </row>
    <row r="81" spans="1:1">
      <c r="A81" s="23" t="s">
        <v>56</v>
      </c>
    </row>
    <row r="82" spans="1:1">
      <c r="A82" s="23" t="s">
        <v>57</v>
      </c>
    </row>
    <row r="84" spans="1:1">
      <c r="A84" s="20" t="s">
        <v>58</v>
      </c>
    </row>
    <row r="85" spans="1:1">
      <c r="A85" s="21" t="s">
        <v>59</v>
      </c>
    </row>
    <row r="86" spans="1:1">
      <c r="A86" s="21" t="s">
        <v>60</v>
      </c>
    </row>
    <row r="87" spans="1:1">
      <c r="A87" s="21" t="s">
        <v>61</v>
      </c>
    </row>
    <row r="88" spans="1:1">
      <c r="A88" s="21" t="s">
        <v>62</v>
      </c>
    </row>
    <row r="89" spans="1:1">
      <c r="A89" s="21" t="s">
        <v>63</v>
      </c>
    </row>
    <row r="90" spans="1:1">
      <c r="A90" s="21" t="s">
        <v>64</v>
      </c>
    </row>
    <row r="91" spans="1:1">
      <c r="A91" s="21" t="s">
        <v>65</v>
      </c>
    </row>
    <row r="92" spans="1:1">
      <c r="A92" s="21" t="s">
        <v>66</v>
      </c>
    </row>
    <row r="93" spans="1:1">
      <c r="A93" s="22"/>
    </row>
    <row r="94" spans="1:1">
      <c r="A94" s="21" t="s">
        <v>67</v>
      </c>
    </row>
    <row r="95" spans="1:1">
      <c r="A95" s="21" t="s">
        <v>68</v>
      </c>
    </row>
    <row r="96" spans="1:1">
      <c r="A96" s="21" t="s">
        <v>69</v>
      </c>
    </row>
    <row r="97" spans="1:1">
      <c r="A97" s="21" t="s">
        <v>70</v>
      </c>
    </row>
    <row r="98" spans="1:1">
      <c r="A98" s="21" t="s">
        <v>71</v>
      </c>
    </row>
    <row r="99" spans="1:1">
      <c r="A99" s="21"/>
    </row>
    <row r="100" spans="1:1">
      <c r="A100" s="21" t="s">
        <v>72</v>
      </c>
    </row>
    <row r="102" spans="1:1">
      <c r="A102" s="20" t="s">
        <v>73</v>
      </c>
    </row>
    <row r="103" spans="1:1">
      <c r="A103" s="21" t="s">
        <v>74</v>
      </c>
    </row>
    <row r="104" spans="1:1">
      <c r="A104" s="21" t="s">
        <v>75</v>
      </c>
    </row>
    <row r="105" spans="1:1">
      <c r="A105" s="21" t="s">
        <v>76</v>
      </c>
    </row>
    <row r="106" spans="1:1">
      <c r="A106" s="21" t="s">
        <v>77</v>
      </c>
    </row>
    <row r="107" spans="1:1">
      <c r="A107" s="21" t="s">
        <v>78</v>
      </c>
    </row>
    <row r="108" spans="1:1">
      <c r="A108" s="22"/>
    </row>
    <row r="109" spans="1:1">
      <c r="A109" s="21" t="s">
        <v>79</v>
      </c>
    </row>
    <row r="111" spans="1:1">
      <c r="A111" s="20" t="s">
        <v>80</v>
      </c>
    </row>
    <row r="112" spans="1:1">
      <c r="A112" s="19" t="s">
        <v>81</v>
      </c>
    </row>
    <row r="113" spans="1:1">
      <c r="A113" s="19" t="s">
        <v>82</v>
      </c>
    </row>
    <row r="114" spans="1:1">
      <c r="A114" s="19" t="s">
        <v>83</v>
      </c>
    </row>
    <row r="115" spans="1:1">
      <c r="A115" s="19" t="s">
        <v>84</v>
      </c>
    </row>
    <row r="117" spans="1:1">
      <c r="A117" s="20" t="s">
        <v>85</v>
      </c>
    </row>
    <row r="118" spans="1:1">
      <c r="A118" s="19" t="s">
        <v>86</v>
      </c>
    </row>
    <row r="119" spans="1:1">
      <c r="A119" s="19" t="s">
        <v>87</v>
      </c>
    </row>
    <row r="121" spans="1:1">
      <c r="A121" s="20" t="s">
        <v>88</v>
      </c>
    </row>
    <row r="122" spans="1:1">
      <c r="A122" s="19" t="s">
        <v>89</v>
      </c>
    </row>
    <row r="123" spans="1:1">
      <c r="A123" s="19" t="s">
        <v>90</v>
      </c>
    </row>
    <row r="125" spans="1:1">
      <c r="A125" s="20" t="s">
        <v>91</v>
      </c>
    </row>
    <row r="126" spans="1:1">
      <c r="A126" s="19" t="s">
        <v>92</v>
      </c>
    </row>
    <row r="127" spans="1:1">
      <c r="A127" s="19" t="s">
        <v>93</v>
      </c>
    </row>
    <row r="128" spans="1:1">
      <c r="A128" s="19" t="s">
        <v>94</v>
      </c>
    </row>
    <row r="130" spans="1:1">
      <c r="A130" s="20" t="s">
        <v>95</v>
      </c>
    </row>
    <row r="131" spans="1:1">
      <c r="A131" s="19" t="s">
        <v>96</v>
      </c>
    </row>
    <row r="132" spans="1:1">
      <c r="A132" s="19" t="s">
        <v>97</v>
      </c>
    </row>
    <row r="133" spans="1:1">
      <c r="A133" s="19" t="s">
        <v>98</v>
      </c>
    </row>
    <row r="135" spans="1:1">
      <c r="A135" s="20" t="s">
        <v>99</v>
      </c>
    </row>
    <row r="136" spans="1:1">
      <c r="A136" s="19" t="s">
        <v>100</v>
      </c>
    </row>
    <row r="137" spans="1:1">
      <c r="A137" s="19" t="s">
        <v>101</v>
      </c>
    </row>
    <row r="138" spans="1:1">
      <c r="A138" s="19" t="s">
        <v>102</v>
      </c>
    </row>
    <row r="140" spans="1:1">
      <c r="A140" s="20" t="s">
        <v>103</v>
      </c>
    </row>
    <row r="141" spans="1:1">
      <c r="A141" s="19" t="s">
        <v>104</v>
      </c>
    </row>
    <row r="142" spans="1:1">
      <c r="A142" s="19" t="s">
        <v>105</v>
      </c>
    </row>
    <row r="143" spans="1:1">
      <c r="A143" s="19" t="s">
        <v>106</v>
      </c>
    </row>
    <row r="145" spans="1:1">
      <c r="A145" s="20" t="s">
        <v>107</v>
      </c>
    </row>
    <row r="146" spans="1:1">
      <c r="A146" s="19" t="s">
        <v>108</v>
      </c>
    </row>
    <row r="147" spans="1:1">
      <c r="A147" s="19" t="s">
        <v>109</v>
      </c>
    </row>
    <row r="149" spans="1:1">
      <c r="A149" s="20" t="s">
        <v>110</v>
      </c>
    </row>
    <row r="150" spans="1:1">
      <c r="A150" s="19" t="s">
        <v>111</v>
      </c>
    </row>
    <row r="151" spans="1:1">
      <c r="A151" s="19" t="s">
        <v>112</v>
      </c>
    </row>
    <row r="152" spans="1:1">
      <c r="A152" s="19" t="s">
        <v>113</v>
      </c>
    </row>
    <row r="153" spans="1:1">
      <c r="A153" s="19" t="s">
        <v>114</v>
      </c>
    </row>
    <row r="155" spans="1:1">
      <c r="A155" s="20" t="s">
        <v>115</v>
      </c>
    </row>
    <row r="156" spans="1:1">
      <c r="A156" s="24" t="s">
        <v>116</v>
      </c>
    </row>
    <row r="157" spans="1:1">
      <c r="A157" s="24" t="s">
        <v>117</v>
      </c>
    </row>
    <row r="158" spans="1:1">
      <c r="A158" s="22"/>
    </row>
    <row r="159" spans="1:1">
      <c r="A159" s="24" t="s">
        <v>118</v>
      </c>
    </row>
    <row r="160" spans="1:1">
      <c r="A160" s="24" t="s">
        <v>119</v>
      </c>
    </row>
    <row r="162" spans="1:1">
      <c r="A162" s="19" t="s">
        <v>120</v>
      </c>
    </row>
  </sheetData>
  <sheetProtection algorithmName="SHA-512" hashValue="mGAPPFdvxdfOgyQH6UGZAuV9lF0unqtyDcqycIb4EUFFh+F4pOHiONUh6tWwlb+f+gAyJKxWGbNOvUpEwp4WKA==" saltValue="kPn8TCwleUMIg32Ve2tyHQ==" spinCount="100000" sheet="1" selectLockedCells="1"/>
  <hyperlinks>
    <hyperlink ref="A156" r:id="rId1" xr:uid="{1D70C22D-1A92-CC45-ACB1-E353C0C133D0}"/>
    <hyperlink ref="A159" r:id="rId2" xr:uid="{6A4A44E7-22EF-7048-8ADE-47CD2C8C082C}"/>
  </hyperlinks>
  <pageMargins left="0.7" right="0.7" top="0.75" bottom="0.75" header="0.3" footer="0.3"/>
  <pageSetup scale="56" fitToHeight="0" orientation="portrait" r:id="rId3"/>
  <headerFooter>
    <oddFooter>&amp;CSubject to Terms of Use
MIT CENTER FOR BIOMEDICAL INNOVATION
NEWDIGS/FoCUS</oddFooter>
  </headerFooter>
  <rowBreaks count="1" manualBreakCount="1">
    <brk id="7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3"/>
  <sheetViews>
    <sheetView showGridLines="0" topLeftCell="A16" zoomScale="90" zoomScaleNormal="90" zoomScalePageLayoutView="90" workbookViewId="0">
      <selection activeCell="N48" sqref="N48"/>
    </sheetView>
  </sheetViews>
  <sheetFormatPr baseColWidth="10" defaultColWidth="8.83203125" defaultRowHeight="15"/>
  <sheetData>
    <row r="1" spans="1:1" ht="21">
      <c r="A1" s="16" t="s">
        <v>121</v>
      </c>
    </row>
    <row r="2" spans="1:1">
      <c r="A2" t="s">
        <v>122</v>
      </c>
    </row>
    <row r="3" spans="1:1">
      <c r="A3" t="s">
        <v>123</v>
      </c>
    </row>
    <row r="4" spans="1:1">
      <c r="A4" t="s">
        <v>124</v>
      </c>
    </row>
    <row r="5" spans="1:1">
      <c r="A5" t="s">
        <v>125</v>
      </c>
    </row>
    <row r="6" spans="1:1">
      <c r="A6" t="s">
        <v>126</v>
      </c>
    </row>
    <row r="8" spans="1:1">
      <c r="A8" s="29" t="s">
        <v>127</v>
      </c>
    </row>
    <row r="9" spans="1:1">
      <c r="A9" s="1" t="s">
        <v>128</v>
      </c>
    </row>
    <row r="11" spans="1:1">
      <c r="A11" t="s">
        <v>129</v>
      </c>
    </row>
    <row r="28" spans="1:1">
      <c r="A28" t="s">
        <v>130</v>
      </c>
    </row>
    <row r="29" spans="1:1">
      <c r="A29" t="s">
        <v>131</v>
      </c>
    </row>
    <row r="30" spans="1:1">
      <c r="A30" t="s">
        <v>132</v>
      </c>
    </row>
    <row r="31" spans="1:1">
      <c r="A31" t="s">
        <v>133</v>
      </c>
    </row>
    <row r="33" spans="1:11">
      <c r="A33" t="s">
        <v>134</v>
      </c>
    </row>
    <row r="34" spans="1:11">
      <c r="A34" t="s">
        <v>135</v>
      </c>
    </row>
    <row r="35" spans="1:11">
      <c r="A35" t="s">
        <v>136</v>
      </c>
    </row>
    <row r="38" spans="1:11">
      <c r="A38" s="1" t="s">
        <v>137</v>
      </c>
      <c r="B38" s="25"/>
    </row>
    <row r="39" spans="1:11">
      <c r="A39" s="107" t="s">
        <v>138</v>
      </c>
      <c r="B39" s="107"/>
      <c r="C39" s="107"/>
      <c r="D39" s="107"/>
      <c r="E39" s="107"/>
      <c r="F39" s="107"/>
      <c r="G39" s="107"/>
      <c r="H39" s="107"/>
      <c r="I39" s="107"/>
      <c r="J39" s="107"/>
      <c r="K39" s="107"/>
    </row>
    <row r="40" spans="1:11">
      <c r="B40" s="25"/>
    </row>
    <row r="42" spans="1:11">
      <c r="A42" s="1" t="s">
        <v>139</v>
      </c>
    </row>
    <row r="43" spans="1:11">
      <c r="A43" s="26"/>
    </row>
    <row r="44" spans="1:11">
      <c r="A44" s="26"/>
    </row>
    <row r="45" spans="1:11">
      <c r="A45" s="26"/>
    </row>
    <row r="46" spans="1:11">
      <c r="A46" s="26"/>
    </row>
    <row r="47" spans="1:11">
      <c r="A47" s="26"/>
    </row>
    <row r="48" spans="1:11">
      <c r="A48" s="26"/>
    </row>
    <row r="49" spans="1:1">
      <c r="A49" s="26"/>
    </row>
    <row r="50" spans="1:1">
      <c r="A50" s="26"/>
    </row>
    <row r="51" spans="1:1">
      <c r="A51" s="26"/>
    </row>
    <row r="52" spans="1:1">
      <c r="A52" s="26"/>
    </row>
    <row r="53" spans="1:1">
      <c r="A53" s="26"/>
    </row>
  </sheetData>
  <sheetProtection algorithmName="SHA-512" hashValue="QeMpyHWbnxLnHwssOmyeyfsZ4j8cgxXOe6Dft62osvAqjRJNCCki+xI541sJ+1XxcTjk34+YIqqOZiYRnywOqQ==" saltValue="e4KLJBxFZk7XuKNO8rdJEg==" spinCount="100000" sheet="1" selectLockedCells="1"/>
  <mergeCells count="1">
    <mergeCell ref="A39:K39"/>
  </mergeCells>
  <hyperlinks>
    <hyperlink ref="A39:K39" r:id="rId1" display="Below is a brief schematic description of the methodology used to arrive at the pipeline estimates. Greater detail is found here." xr:uid="{D9DA662B-5FB5-6E47-A868-9F1F59D7B11D}"/>
  </hyperlinks>
  <pageMargins left="0.7" right="0.7" top="0.75" bottom="0.75" header="0.3" footer="0.3"/>
  <pageSetup scale="67" fitToHeight="0" orientation="portrait"/>
  <headerFooter>
    <oddFooter>&amp;CSubject to Terms of Use
MIT CENTER FOR BIOMEDICAL INNOVATION
NEWDIGS/FoCUS</oddFooter>
  </headerFooter>
  <rowBreaks count="1" manualBreakCount="1">
    <brk id="37"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O115"/>
  <sheetViews>
    <sheetView showGridLines="0" tabSelected="1" workbookViewId="0">
      <selection activeCell="A22" sqref="A22"/>
    </sheetView>
  </sheetViews>
  <sheetFormatPr baseColWidth="10" defaultColWidth="9.1640625" defaultRowHeight="15"/>
  <cols>
    <col min="1" max="1" width="49.33203125" customWidth="1"/>
    <col min="2" max="2" width="13.5" customWidth="1"/>
    <col min="3" max="3" width="14.83203125" customWidth="1"/>
    <col min="4" max="14" width="13.83203125" bestFit="1" customWidth="1"/>
    <col min="15" max="15" width="13.5" customWidth="1"/>
  </cols>
  <sheetData>
    <row r="1" spans="1:15" ht="21" customHeight="1">
      <c r="A1" s="58" t="s">
        <v>140</v>
      </c>
      <c r="B1" s="59"/>
      <c r="C1" s="59"/>
      <c r="D1" s="59"/>
      <c r="E1" s="59"/>
      <c r="F1" s="59"/>
      <c r="G1" s="59"/>
      <c r="H1" s="59"/>
      <c r="I1" s="59"/>
    </row>
    <row r="2" spans="1:15" ht="13" customHeight="1">
      <c r="A2" s="59"/>
      <c r="B2" s="59"/>
      <c r="C2" s="59"/>
      <c r="D2" s="59"/>
      <c r="E2" s="59"/>
      <c r="F2" s="59"/>
      <c r="G2" s="59"/>
      <c r="H2" s="59"/>
      <c r="I2" s="59"/>
    </row>
    <row r="3" spans="1:15" ht="16.75" customHeight="1">
      <c r="A3" s="14" t="s">
        <v>141</v>
      </c>
      <c r="B3" s="59"/>
      <c r="C3" s="59"/>
      <c r="D3" s="59"/>
      <c r="E3" s="59"/>
      <c r="F3" s="59"/>
      <c r="G3" s="59"/>
      <c r="H3" s="59"/>
      <c r="I3" s="59"/>
    </row>
    <row r="4" spans="1:15" ht="14.5" customHeight="1">
      <c r="A4" s="14" t="s">
        <v>142</v>
      </c>
      <c r="B4" s="59"/>
      <c r="C4" s="59"/>
      <c r="D4" s="59"/>
      <c r="E4" s="59"/>
      <c r="F4" s="59"/>
      <c r="G4" s="59"/>
      <c r="H4" s="59"/>
    </row>
    <row r="5" spans="1:15" ht="14.5" customHeight="1">
      <c r="A5" s="14"/>
      <c r="B5" s="59"/>
      <c r="C5" s="59"/>
      <c r="D5" s="59"/>
      <c r="E5" s="59"/>
      <c r="F5" s="59"/>
      <c r="G5" s="59"/>
      <c r="H5" s="59"/>
    </row>
    <row r="6" spans="1:15">
      <c r="A6" s="14" t="s">
        <v>143</v>
      </c>
      <c r="B6" s="14"/>
      <c r="C6" s="14"/>
      <c r="D6" s="14"/>
      <c r="E6" s="14"/>
      <c r="F6" s="14"/>
      <c r="G6" s="14"/>
      <c r="H6" s="14"/>
      <c r="I6" s="14"/>
      <c r="J6" s="14"/>
      <c r="K6" s="60"/>
      <c r="L6" s="60"/>
    </row>
    <row r="7" spans="1:15" ht="21" customHeight="1">
      <c r="A7" s="61"/>
      <c r="B7" s="59"/>
      <c r="C7" s="59"/>
      <c r="D7" s="59"/>
      <c r="E7" s="59"/>
      <c r="F7" s="59"/>
      <c r="G7" s="59"/>
      <c r="H7" s="59"/>
    </row>
    <row r="8" spans="1:15">
      <c r="A8" s="117" t="s">
        <v>144</v>
      </c>
      <c r="B8" s="117"/>
      <c r="C8" s="117"/>
      <c r="D8" s="117"/>
      <c r="E8" s="117"/>
      <c r="F8" s="117"/>
      <c r="G8" s="117"/>
      <c r="H8" s="117"/>
      <c r="I8" s="117"/>
      <c r="J8" s="117"/>
      <c r="K8" s="62"/>
    </row>
    <row r="9" spans="1:15">
      <c r="A9" s="63" t="s">
        <v>145</v>
      </c>
    </row>
    <row r="10" spans="1:15" ht="44" customHeight="1">
      <c r="A10" s="114" t="s">
        <v>146</v>
      </c>
      <c r="B10" s="114"/>
      <c r="C10" s="114"/>
      <c r="D10" s="114"/>
      <c r="E10" s="114"/>
      <c r="F10" s="114"/>
      <c r="G10" s="114"/>
      <c r="H10" s="114"/>
      <c r="I10" s="114"/>
      <c r="J10" s="114"/>
      <c r="K10" s="60"/>
      <c r="L10" s="60"/>
      <c r="M10" s="60"/>
      <c r="N10" s="60"/>
      <c r="O10" s="60"/>
    </row>
    <row r="11" spans="1:15" ht="33" customHeight="1">
      <c r="A11" s="113" t="s">
        <v>147</v>
      </c>
      <c r="B11" s="113"/>
      <c r="C11" s="113"/>
      <c r="D11" s="113"/>
      <c r="E11" s="113"/>
      <c r="F11" s="113"/>
      <c r="G11" s="113"/>
      <c r="H11" s="113"/>
      <c r="I11" s="113"/>
      <c r="J11" s="113"/>
      <c r="K11" s="60"/>
      <c r="L11" s="60"/>
      <c r="M11" s="60"/>
      <c r="N11" s="60"/>
      <c r="O11" s="60"/>
    </row>
    <row r="12" spans="1:15" ht="15" customHeight="1">
      <c r="A12" s="64"/>
      <c r="F12" s="121" t="s">
        <v>148</v>
      </c>
      <c r="G12" s="121"/>
      <c r="H12" s="121"/>
      <c r="I12" s="121"/>
      <c r="J12" s="121"/>
      <c r="K12" s="60"/>
      <c r="L12" s="60"/>
      <c r="M12" s="60"/>
      <c r="N12" s="60"/>
    </row>
    <row r="13" spans="1:15" ht="15" customHeight="1">
      <c r="A13" s="65" t="s">
        <v>149</v>
      </c>
      <c r="F13" s="64"/>
      <c r="G13" s="66"/>
      <c r="H13" s="118"/>
      <c r="I13" s="118"/>
      <c r="J13" s="60"/>
      <c r="K13" s="60"/>
      <c r="L13" s="60"/>
      <c r="M13" s="60"/>
      <c r="N13" s="60"/>
    </row>
    <row r="14" spans="1:15" ht="45" customHeight="1" thickBot="1">
      <c r="A14" s="64"/>
      <c r="F14" s="64"/>
      <c r="G14" s="67" t="s">
        <v>150</v>
      </c>
      <c r="H14" s="119" t="s">
        <v>151</v>
      </c>
      <c r="I14" s="120"/>
      <c r="J14" s="60"/>
      <c r="K14" s="60"/>
      <c r="L14" s="60"/>
      <c r="M14" s="60"/>
      <c r="N14" s="60"/>
    </row>
    <row r="15" spans="1:15" ht="14.5" customHeight="1">
      <c r="A15" s="113" t="s">
        <v>152</v>
      </c>
      <c r="G15" s="68">
        <v>2500000</v>
      </c>
      <c r="H15" s="125" t="s">
        <v>153</v>
      </c>
      <c r="I15" s="126"/>
    </row>
    <row r="16" spans="1:15" ht="14.5" customHeight="1">
      <c r="A16" s="113"/>
      <c r="G16" s="69">
        <v>800000</v>
      </c>
      <c r="H16" s="127" t="s">
        <v>154</v>
      </c>
      <c r="I16" s="128"/>
    </row>
    <row r="17" spans="1:14" ht="14.5" customHeight="1">
      <c r="A17" s="113"/>
      <c r="G17" s="69">
        <v>800000</v>
      </c>
      <c r="H17" s="127" t="s">
        <v>155</v>
      </c>
      <c r="I17" s="128"/>
    </row>
    <row r="18" spans="1:14" ht="14.5" customHeight="1">
      <c r="A18" s="124"/>
      <c r="G18" s="69">
        <v>500000</v>
      </c>
      <c r="H18" s="109" t="s">
        <v>156</v>
      </c>
      <c r="I18" s="110"/>
    </row>
    <row r="19" spans="1:14" ht="14.5" customHeight="1">
      <c r="G19" s="69">
        <v>400000</v>
      </c>
      <c r="H19" s="122" t="s">
        <v>157</v>
      </c>
      <c r="I19" s="123"/>
    </row>
    <row r="20" spans="1:14" ht="14.5" customHeight="1">
      <c r="A20" s="70" t="s">
        <v>158</v>
      </c>
      <c r="G20" s="69">
        <v>100000</v>
      </c>
      <c r="H20" s="109" t="s">
        <v>159</v>
      </c>
      <c r="I20" s="110"/>
    </row>
    <row r="21" spans="1:14" ht="14.5" customHeight="1" thickBot="1">
      <c r="A21" s="64"/>
      <c r="C21" s="66"/>
      <c r="D21" s="71"/>
      <c r="E21" s="71"/>
      <c r="G21" s="72">
        <v>50000</v>
      </c>
      <c r="H21" s="111" t="s">
        <v>160</v>
      </c>
      <c r="I21" s="112"/>
    </row>
    <row r="22" spans="1:14" ht="14.5" customHeight="1">
      <c r="A22" s="102" t="s">
        <v>161</v>
      </c>
      <c r="C22" s="64" t="s">
        <v>162</v>
      </c>
      <c r="D22" s="64"/>
      <c r="E22" s="64"/>
      <c r="F22" s="64"/>
      <c r="G22" s="64"/>
      <c r="H22" s="113"/>
      <c r="I22" s="113"/>
    </row>
    <row r="23" spans="1:14" ht="14.5" customHeight="1">
      <c r="C23" s="64"/>
      <c r="D23" s="64"/>
      <c r="E23" s="64"/>
      <c r="F23" s="64"/>
      <c r="G23" s="64"/>
      <c r="H23" s="64"/>
      <c r="I23" s="64"/>
    </row>
    <row r="24" spans="1:14" ht="14.5" customHeight="1">
      <c r="A24" t="s">
        <v>163</v>
      </c>
      <c r="C24" s="64"/>
      <c r="D24" s="64"/>
      <c r="E24" s="64"/>
      <c r="F24" s="64"/>
      <c r="G24" s="64"/>
      <c r="H24" s="64"/>
      <c r="I24" s="64"/>
    </row>
    <row r="25" spans="1:14" ht="14.5" customHeight="1">
      <c r="A25" t="s">
        <v>164</v>
      </c>
    </row>
    <row r="26" spans="1:14" ht="14.5" customHeight="1">
      <c r="A26" s="60"/>
    </row>
    <row r="27" spans="1:14">
      <c r="A27" s="1" t="str">
        <f>CONCATENATE("Estimated population for """&amp;$A$22&amp;"""")</f>
        <v>Estimated population for "Not Medicare or Medicaid"</v>
      </c>
      <c r="B27" s="37">
        <f>'Hidden Drop Down Lists'!$C$32</f>
        <v>198075000</v>
      </c>
    </row>
    <row r="29" spans="1:14" ht="14.5" customHeight="1">
      <c r="A29" s="61"/>
      <c r="B29" s="73">
        <f ca="1">YEAR(TODAY())</f>
        <v>2023</v>
      </c>
      <c r="C29" s="73">
        <f ca="1">B29+1</f>
        <v>2024</v>
      </c>
      <c r="D29" s="73">
        <f t="shared" ref="D29:K29" ca="1" si="0">C29+1</f>
        <v>2025</v>
      </c>
      <c r="E29" s="73">
        <f t="shared" ca="1" si="0"/>
        <v>2026</v>
      </c>
      <c r="F29" s="73">
        <f ca="1">E29+1</f>
        <v>2027</v>
      </c>
      <c r="G29" s="73">
        <f t="shared" ca="1" si="0"/>
        <v>2028</v>
      </c>
      <c r="H29" s="73">
        <f t="shared" ca="1" si="0"/>
        <v>2029</v>
      </c>
      <c r="I29" s="73">
        <f t="shared" ca="1" si="0"/>
        <v>2030</v>
      </c>
      <c r="J29" s="73">
        <f t="shared" ca="1" si="0"/>
        <v>2031</v>
      </c>
      <c r="K29" s="73">
        <f t="shared" ca="1" si="0"/>
        <v>2032</v>
      </c>
      <c r="L29" s="74"/>
      <c r="M29" s="74"/>
      <c r="N29" s="74"/>
    </row>
    <row r="30" spans="1:14" ht="14.5" customHeight="1">
      <c r="A30" t="str">
        <f>CONCATENATE(""""&amp;$A$22&amp;""" Pipeline ($millions) - 95%")</f>
        <v>"Not Medicare or Medicaid" Pipeline ($millions) - 95%</v>
      </c>
      <c r="B30" s="75">
        <f ca="1">INDEX('Hidden Pipeline Data'!$C:$O,5*'Hidden Drop Down Lists'!$B$32-1,MATCH(B$29,'Hidden Pipeline Data'!$C$3:$O$3,0))</f>
        <v>3481.1687553343563</v>
      </c>
      <c r="C30" s="75">
        <f ca="1">INDEX('Hidden Pipeline Data'!$C:$O,5*'Hidden Drop Down Lists'!$B$32-1,MATCH(C$29,'Hidden Pipeline Data'!$C$3:$O$3,0))</f>
        <v>6932.4236473104129</v>
      </c>
      <c r="D30" s="75">
        <f ca="1">INDEX('Hidden Pipeline Data'!$C:$O,5*'Hidden Drop Down Lists'!$B$32-1,MATCH(D$29,'Hidden Pipeline Data'!$C$3:$O$3,0))</f>
        <v>17042.30759523654</v>
      </c>
      <c r="E30" s="75">
        <f ca="1">INDEX('Hidden Pipeline Data'!$C:$O,5*'Hidden Drop Down Lists'!$B$32-1,MATCH(E$29,'Hidden Pipeline Data'!$C$3:$O$3,0))</f>
        <v>16910.20401651159</v>
      </c>
      <c r="F30" s="75">
        <f ca="1">INDEX('Hidden Pipeline Data'!$C:$O,5*'Hidden Drop Down Lists'!$B$32-1,MATCH(F$29,'Hidden Pipeline Data'!$C$3:$O$3,0))</f>
        <v>15555.447838946809</v>
      </c>
      <c r="G30" s="75">
        <f ca="1">INDEX('Hidden Pipeline Data'!$C:$O,5*'Hidden Drop Down Lists'!$B$32-1,MATCH(G$29,'Hidden Pipeline Data'!$C$3:$O$3,0))</f>
        <v>13902.276213728361</v>
      </c>
      <c r="H30" s="75">
        <f ca="1">INDEX('Hidden Pipeline Data'!$C:$O,5*'Hidden Drop Down Lists'!$B$32-1,MATCH(H$29,'Hidden Pipeline Data'!$C$3:$O$3,0))</f>
        <v>13624.562673509568</v>
      </c>
      <c r="I30" s="75">
        <f ca="1">INDEX('Hidden Pipeline Data'!$C:$O,5*'Hidden Drop Down Lists'!$B$32-1,MATCH(I$29,'Hidden Pipeline Data'!$C$3:$O$3,0))</f>
        <v>14258.381971052917</v>
      </c>
      <c r="J30" s="75">
        <f ca="1">INDEX('Hidden Pipeline Data'!$C:$O,5*'Hidden Drop Down Lists'!$B$32-1,MATCH(J$29,'Hidden Pipeline Data'!$C$3:$O$3,0))</f>
        <v>14955.565662920497</v>
      </c>
      <c r="K30" s="75">
        <f ca="1">INDEX('Hidden Pipeline Data'!$C:$O,5*'Hidden Drop Down Lists'!$B$32-1,MATCH(K$29,'Hidden Pipeline Data'!$C$3:$O$3,0))</f>
        <v>15616.951287678969</v>
      </c>
      <c r="L30" s="76"/>
      <c r="M30" s="76"/>
      <c r="N30" s="76"/>
    </row>
    <row r="31" spans="1:14" ht="14.5" customHeight="1">
      <c r="A31" s="77" t="str">
        <f>CONCATENATE(""""&amp;$A$22&amp;""" Pipeline ($millions) - Mean")</f>
        <v>"Not Medicare or Medicaid" Pipeline ($millions) - Mean</v>
      </c>
      <c r="B31" s="78">
        <f ca="1">INDEX('Hidden Pipeline Data'!$C:$O,5*'Hidden Drop Down Lists'!$B$32,MATCH(B$29,'Hidden Pipeline Data'!$C$3:$O$3,0))</f>
        <v>3481.1687551618502</v>
      </c>
      <c r="C31" s="78">
        <f ca="1">INDEX('Hidden Pipeline Data'!$C:$O,5*'Hidden Drop Down Lists'!$B$32,MATCH(C$29,'Hidden Pipeline Data'!$C$3:$O$3,0))</f>
        <v>6499.4772191134616</v>
      </c>
      <c r="D31" s="78">
        <f ca="1">INDEX('Hidden Pipeline Data'!$C:$O,5*'Hidden Drop Down Lists'!$B$32,MATCH(D$29,'Hidden Pipeline Data'!$C$3:$O$3,0))</f>
        <v>12624.653478792072</v>
      </c>
      <c r="E31" s="78">
        <f ca="1">INDEX('Hidden Pipeline Data'!$C:$O,5*'Hidden Drop Down Lists'!$B$32,MATCH(E$29,'Hidden Pipeline Data'!$C$3:$O$3,0))</f>
        <v>14838.763172929368</v>
      </c>
      <c r="F31" s="78">
        <f ca="1">INDEX('Hidden Pipeline Data'!$C:$O,5*'Hidden Drop Down Lists'!$B$32,MATCH(F$29,'Hidden Pipeline Data'!$C$3:$O$3,0))</f>
        <v>12969.203540599745</v>
      </c>
      <c r="G31" s="78">
        <f ca="1">INDEX('Hidden Pipeline Data'!$C:$O,5*'Hidden Drop Down Lists'!$B$32,MATCH(G$29,'Hidden Pipeline Data'!$C$3:$O$3,0))</f>
        <v>11639.449115459442</v>
      </c>
      <c r="H31" s="78">
        <f ca="1">INDEX('Hidden Pipeline Data'!$C:$O,5*'Hidden Drop Down Lists'!$B$32,MATCH(H$29,'Hidden Pipeline Data'!$C$3:$O$3,0))</f>
        <v>11506.665785159181</v>
      </c>
      <c r="I31" s="78">
        <f ca="1">INDEX('Hidden Pipeline Data'!$C:$O,5*'Hidden Drop Down Lists'!$B$32,MATCH(I$29,'Hidden Pipeline Data'!$C$3:$O$3,0))</f>
        <v>12157.506043429046</v>
      </c>
      <c r="J31" s="78">
        <f ca="1">INDEX('Hidden Pipeline Data'!$C:$O,5*'Hidden Drop Down Lists'!$B$32,MATCH(J$29,'Hidden Pipeline Data'!$C$3:$O$3,0))</f>
        <v>12675.307104160422</v>
      </c>
      <c r="K31" s="78">
        <f ca="1">INDEX('Hidden Pipeline Data'!$C:$O,5*'Hidden Drop Down Lists'!$B$32,MATCH(K$29,'Hidden Pipeline Data'!$C$3:$O$3,0))</f>
        <v>13171.102743688123</v>
      </c>
      <c r="L31" s="79"/>
      <c r="M31" s="79"/>
      <c r="N31" s="79"/>
    </row>
    <row r="32" spans="1:14">
      <c r="A32" t="str">
        <f>CONCATENATE(""""&amp;$A$22&amp;""" Pipeline ($millions) - 5%")</f>
        <v>"Not Medicare or Medicaid" Pipeline ($millions) - 5%</v>
      </c>
      <c r="B32" s="75">
        <f ca="1">INDEX('Hidden Pipeline Data'!$C:$O,5*'Hidden Drop Down Lists'!$B$32+1,MATCH(B$29,'Hidden Pipeline Data'!$C$3:$O$3,0))</f>
        <v>3481.1687553343563</v>
      </c>
      <c r="C32" s="75">
        <f ca="1">INDEX('Hidden Pipeline Data'!$C:$O,5*'Hidden Drop Down Lists'!$B$32+1,MATCH(C$29,'Hidden Pipeline Data'!$C$3:$O$3,0))</f>
        <v>4473.4915471991908</v>
      </c>
      <c r="D32" s="75">
        <f ca="1">INDEX('Hidden Pipeline Data'!$C:$O,5*'Hidden Drop Down Lists'!$B$32+1,MATCH(D$29,'Hidden Pipeline Data'!$C$3:$O$3,0))</f>
        <v>6240.894726705018</v>
      </c>
      <c r="E32" s="75">
        <f ca="1">INDEX('Hidden Pipeline Data'!$C:$O,5*'Hidden Drop Down Lists'!$B$32+1,MATCH(E$29,'Hidden Pipeline Data'!$C$3:$O$3,0))</f>
        <v>12536.44160233935</v>
      </c>
      <c r="F32" s="75">
        <f ca="1">INDEX('Hidden Pipeline Data'!$C:$O,5*'Hidden Drop Down Lists'!$B$32+1,MATCH(F$29,'Hidden Pipeline Data'!$C$3:$O$3,0))</f>
        <v>12084.74241877149</v>
      </c>
      <c r="G32" s="75">
        <f ca="1">INDEX('Hidden Pipeline Data'!$C:$O,5*'Hidden Drop Down Lists'!$B$32+1,MATCH(G$29,'Hidden Pipeline Data'!$C$3:$O$3,0))</f>
        <v>7595.5280841059484</v>
      </c>
      <c r="H32" s="75">
        <f ca="1">INDEX('Hidden Pipeline Data'!$C:$O,5*'Hidden Drop Down Lists'!$B$32+1,MATCH(H$29,'Hidden Pipeline Data'!$C$3:$O$3,0))</f>
        <v>8083.5794175831052</v>
      </c>
      <c r="I32" s="75">
        <f ca="1">INDEX('Hidden Pipeline Data'!$C:$O,5*'Hidden Drop Down Lists'!$B$32+1,MATCH(I$29,'Hidden Pipeline Data'!$C$3:$O$3,0))</f>
        <v>8760.8493284841334</v>
      </c>
      <c r="J32" s="75">
        <f ca="1">INDEX('Hidden Pipeline Data'!$C:$O,5*'Hidden Drop Down Lists'!$B$32+1,MATCH(J$29,'Hidden Pipeline Data'!$C$3:$O$3,0))</f>
        <v>9308.0436607959618</v>
      </c>
      <c r="K32" s="75">
        <f ca="1">INDEX('Hidden Pipeline Data'!$C:$O,5*'Hidden Drop Down Lists'!$B$32+1,MATCH(K$29,'Hidden Pipeline Data'!$C$3:$O$3,0))</f>
        <v>9843.555626589392</v>
      </c>
      <c r="L32" s="76"/>
      <c r="M32" s="76"/>
      <c r="N32" s="76"/>
    </row>
    <row r="33" spans="1:11">
      <c r="A33" s="61"/>
    </row>
    <row r="34" spans="1:11">
      <c r="A34" s="61"/>
    </row>
    <row r="35" spans="1:11">
      <c r="A35" t="s">
        <v>165</v>
      </c>
    </row>
    <row r="36" spans="1:11">
      <c r="A36" t="s">
        <v>166</v>
      </c>
    </row>
    <row r="37" spans="1:11">
      <c r="A37" t="s">
        <v>167</v>
      </c>
    </row>
    <row r="39" spans="1:11">
      <c r="A39" s="80" t="s">
        <v>168</v>
      </c>
      <c r="B39" s="80"/>
      <c r="C39" s="80"/>
      <c r="D39" s="80"/>
      <c r="E39" s="80"/>
      <c r="F39" s="80"/>
      <c r="G39" s="80"/>
      <c r="H39" s="80"/>
      <c r="I39" s="80"/>
      <c r="J39" s="80"/>
      <c r="K39" s="62"/>
    </row>
    <row r="40" spans="1:11">
      <c r="A40" s="81" t="s">
        <v>169</v>
      </c>
    </row>
    <row r="42" spans="1:11" ht="14" customHeight="1">
      <c r="A42" s="113" t="s">
        <v>170</v>
      </c>
      <c r="B42" s="113"/>
      <c r="C42" s="113"/>
      <c r="D42" s="113"/>
      <c r="E42" s="113"/>
      <c r="F42" s="113"/>
      <c r="G42" s="113"/>
      <c r="H42" s="113"/>
      <c r="I42" s="113"/>
      <c r="J42" s="113"/>
    </row>
    <row r="43" spans="1:11">
      <c r="A43" s="113"/>
      <c r="B43" s="113"/>
      <c r="C43" s="113"/>
      <c r="D43" s="113"/>
      <c r="E43" s="113"/>
      <c r="F43" s="113"/>
      <c r="G43" s="113"/>
      <c r="H43" s="113"/>
      <c r="I43" s="113"/>
      <c r="J43" s="113"/>
    </row>
    <row r="45" spans="1:11" ht="16">
      <c r="A45" s="82" t="s">
        <v>171</v>
      </c>
      <c r="B45" s="15">
        <v>125000</v>
      </c>
      <c r="E45" s="83"/>
    </row>
    <row r="47" spans="1:11">
      <c r="A47" s="108" t="s">
        <v>172</v>
      </c>
    </row>
    <row r="48" spans="1:11">
      <c r="A48" s="108"/>
      <c r="B48" s="103">
        <v>0.05</v>
      </c>
    </row>
    <row r="49" spans="1:15">
      <c r="A49" s="84"/>
    </row>
    <row r="50" spans="1:15" ht="14.5" customHeight="1">
      <c r="A50" t="s">
        <v>163</v>
      </c>
      <c r="C50" s="64"/>
      <c r="D50" s="64"/>
      <c r="E50" s="64"/>
      <c r="F50" s="64"/>
      <c r="G50" s="64"/>
      <c r="H50" s="64"/>
      <c r="I50" s="64"/>
    </row>
    <row r="51" spans="1:15" ht="14.5" customHeight="1">
      <c r="A51" t="s">
        <v>164</v>
      </c>
    </row>
    <row r="54" spans="1:15">
      <c r="A54" s="1" t="s">
        <v>173</v>
      </c>
      <c r="B54" s="73">
        <f ca="1">B29</f>
        <v>2023</v>
      </c>
      <c r="C54" s="73">
        <f t="shared" ref="C54:K54" ca="1" si="1">C29</f>
        <v>2024</v>
      </c>
      <c r="D54" s="73">
        <f t="shared" ca="1" si="1"/>
        <v>2025</v>
      </c>
      <c r="E54" s="73">
        <f t="shared" ca="1" si="1"/>
        <v>2026</v>
      </c>
      <c r="F54" s="73">
        <f t="shared" ca="1" si="1"/>
        <v>2027</v>
      </c>
      <c r="G54" s="73">
        <f t="shared" ca="1" si="1"/>
        <v>2028</v>
      </c>
      <c r="H54" s="73">
        <f t="shared" ca="1" si="1"/>
        <v>2029</v>
      </c>
      <c r="I54" s="73">
        <f t="shared" ca="1" si="1"/>
        <v>2030</v>
      </c>
      <c r="J54" s="73">
        <f t="shared" ca="1" si="1"/>
        <v>2031</v>
      </c>
      <c r="K54" s="85">
        <f t="shared" ca="1" si="1"/>
        <v>2032</v>
      </c>
      <c r="L54" s="86"/>
      <c r="M54" s="74"/>
      <c r="N54" s="74"/>
      <c r="O54" s="74"/>
    </row>
    <row r="55" spans="1:15">
      <c r="A55" t="s">
        <v>174</v>
      </c>
      <c r="B55" s="87">
        <f ca="1">INDEX(B30:B32,'Hidden Drop Down Lists'!$D$12)*$B$45/$B$27</f>
        <v>2.1968753977876792</v>
      </c>
      <c r="C55" s="87">
        <f ca="1">INDEX(C30:C32,'Hidden Drop Down Lists'!$D$12)*$B$45/$B$27</f>
        <v>2.8231045987625842</v>
      </c>
      <c r="D55" s="87">
        <f ca="1">INDEX(D30:D32,'Hidden Drop Down Lists'!$D$12)*$B$45/$B$27</f>
        <v>3.9384669485706287</v>
      </c>
      <c r="E55" s="87">
        <f ca="1">INDEX(E30:E32,'Hidden Drop Down Lists'!$D$12)*$B$45/$B$27</f>
        <v>7.9114234521894167</v>
      </c>
      <c r="F55" s="87">
        <f ca="1">INDEX(F30:F32,'Hidden Drop Down Lists'!$D$12)*$B$45/$B$27</f>
        <v>7.6263678018247445</v>
      </c>
      <c r="G55" s="87">
        <f ca="1">INDEX(G30:G32,'Hidden Drop Down Lists'!$D$12)*$B$45/$B$27</f>
        <v>4.7933409592994751</v>
      </c>
      <c r="H55" s="87">
        <f ca="1">INDEX(H30:H32,'Hidden Drop Down Lists'!$D$12)*$B$45/$B$27</f>
        <v>5.1013375095185571</v>
      </c>
      <c r="I55" s="87">
        <f ca="1">INDEX(I30:I32,'Hidden Drop Down Lists'!$D$12)*$B$45/$B$27</f>
        <v>5.5287450009365982</v>
      </c>
      <c r="J55" s="87">
        <f ca="1">INDEX(J30:J32,'Hidden Drop Down Lists'!$D$12)*$B$45/$B$27</f>
        <v>5.8740651652126479</v>
      </c>
      <c r="K55" s="87">
        <f ca="1">INDEX(K30:K32,'Hidden Drop Down Lists'!$D$12)*$B$45/$B$27</f>
        <v>6.2120128906912733</v>
      </c>
      <c r="L55" s="88"/>
      <c r="M55" s="89"/>
      <c r="N55" s="89"/>
    </row>
    <row r="56" spans="1:15">
      <c r="A56" t="s">
        <v>175</v>
      </c>
      <c r="B56" s="90">
        <f t="shared" ref="B56:K56" ca="1" si="2">(B55*1000000/12)/$B$45</f>
        <v>1.4645835985251192</v>
      </c>
      <c r="C56" s="90">
        <f t="shared" ca="1" si="2"/>
        <v>1.8820697325083895</v>
      </c>
      <c r="D56" s="90">
        <f t="shared" ca="1" si="2"/>
        <v>2.625644632380419</v>
      </c>
      <c r="E56" s="90">
        <f t="shared" ca="1" si="2"/>
        <v>5.2742823014596114</v>
      </c>
      <c r="F56" s="90">
        <f t="shared" ca="1" si="2"/>
        <v>5.0842452012164969</v>
      </c>
      <c r="G56" s="90">
        <f t="shared" ca="1" si="2"/>
        <v>3.1955606395329834</v>
      </c>
      <c r="H56" s="90">
        <f t="shared" ca="1" si="2"/>
        <v>3.4008916730123717</v>
      </c>
      <c r="I56" s="90">
        <f t="shared" ca="1" si="2"/>
        <v>3.6858300006243994</v>
      </c>
      <c r="J56" s="90">
        <f t="shared" ca="1" si="2"/>
        <v>3.916043443475099</v>
      </c>
      <c r="K56" s="91">
        <f t="shared" ca="1" si="2"/>
        <v>4.1413419271275158</v>
      </c>
      <c r="L56" s="92"/>
      <c r="M56" s="93"/>
      <c r="N56" s="93"/>
    </row>
    <row r="57" spans="1:15">
      <c r="A57" s="61"/>
    </row>
    <row r="58" spans="1:15">
      <c r="A58" s="61"/>
    </row>
    <row r="59" spans="1:15">
      <c r="A59" s="14" t="s">
        <v>176</v>
      </c>
    </row>
    <row r="60" spans="1:15">
      <c r="A60" t="s">
        <v>177</v>
      </c>
    </row>
    <row r="62" spans="1:15">
      <c r="A62" s="28" t="s">
        <v>178</v>
      </c>
    </row>
    <row r="63" spans="1:15">
      <c r="A63" s="28" t="s">
        <v>179</v>
      </c>
    </row>
    <row r="64" spans="1:15">
      <c r="A64" s="28" t="s">
        <v>180</v>
      </c>
    </row>
    <row r="66" spans="1:11">
      <c r="A66" s="116" t="s">
        <v>181</v>
      </c>
      <c r="B66" s="116"/>
      <c r="C66" s="116"/>
      <c r="D66" s="116"/>
      <c r="E66" s="116"/>
      <c r="F66" s="116"/>
      <c r="G66" s="116"/>
      <c r="H66" s="116"/>
      <c r="I66" s="116"/>
      <c r="J66" s="116"/>
      <c r="K66" s="62"/>
    </row>
    <row r="67" spans="1:11">
      <c r="A67" s="81" t="s">
        <v>182</v>
      </c>
      <c r="B67" s="74"/>
      <c r="C67" s="74"/>
      <c r="D67" s="74"/>
      <c r="E67" s="74"/>
      <c r="F67" s="74"/>
      <c r="G67" s="74"/>
      <c r="H67" s="74"/>
      <c r="I67" s="74"/>
      <c r="J67" s="74"/>
    </row>
    <row r="68" spans="1:11">
      <c r="A68" s="81"/>
      <c r="D68" s="74"/>
      <c r="E68" s="74"/>
      <c r="F68" s="74"/>
      <c r="G68" s="74"/>
      <c r="H68" s="74"/>
      <c r="I68" s="74"/>
      <c r="J68" s="74"/>
    </row>
    <row r="69" spans="1:11">
      <c r="A69" s="113" t="s">
        <v>183</v>
      </c>
      <c r="C69" s="74" t="s">
        <v>184</v>
      </c>
      <c r="D69" s="74"/>
      <c r="E69" s="74"/>
      <c r="F69" s="74"/>
      <c r="G69" s="74"/>
      <c r="H69" s="74"/>
      <c r="I69" s="74"/>
      <c r="J69" s="74"/>
    </row>
    <row r="70" spans="1:11">
      <c r="A70" s="115"/>
      <c r="C70" s="104" t="s">
        <v>185</v>
      </c>
      <c r="D70" s="1" t="s">
        <v>186</v>
      </c>
      <c r="E70" s="74"/>
      <c r="F70" s="74"/>
      <c r="G70" s="74"/>
      <c r="H70" s="74"/>
      <c r="I70" s="74"/>
      <c r="J70" s="74"/>
    </row>
    <row r="71" spans="1:11">
      <c r="A71" s="115"/>
      <c r="C71" s="104" t="s">
        <v>185</v>
      </c>
      <c r="D71" s="1" t="s">
        <v>187</v>
      </c>
      <c r="E71" s="74"/>
      <c r="F71" s="74"/>
    </row>
    <row r="72" spans="1:11">
      <c r="A72" s="115"/>
      <c r="C72" s="104" t="s">
        <v>185</v>
      </c>
      <c r="D72" s="1" t="s">
        <v>188</v>
      </c>
    </row>
    <row r="73" spans="1:11">
      <c r="A73" s="115"/>
      <c r="C73" s="105" t="s">
        <v>185</v>
      </c>
      <c r="D73" s="1" t="s">
        <v>189</v>
      </c>
    </row>
    <row r="74" spans="1:11">
      <c r="A74" s="115"/>
    </row>
    <row r="75" spans="1:11">
      <c r="A75" s="94"/>
    </row>
    <row r="76" spans="1:11">
      <c r="A76" s="94"/>
    </row>
    <row r="77" spans="1:11" ht="14" customHeight="1">
      <c r="A77" s="94"/>
      <c r="E77" s="114" t="s">
        <v>190</v>
      </c>
      <c r="F77" s="114"/>
      <c r="G77" s="114"/>
      <c r="H77" s="114"/>
      <c r="I77" s="95"/>
    </row>
    <row r="78" spans="1:11">
      <c r="A78" s="94"/>
      <c r="E78" s="114"/>
      <c r="F78" s="114"/>
      <c r="G78" s="114"/>
      <c r="H78" s="114"/>
      <c r="I78" s="95"/>
    </row>
    <row r="79" spans="1:11">
      <c r="A79" s="94"/>
      <c r="E79" s="114"/>
      <c r="F79" s="114"/>
      <c r="G79" s="114"/>
      <c r="H79" s="114"/>
      <c r="I79" s="95"/>
    </row>
    <row r="80" spans="1:11">
      <c r="A80" s="94"/>
      <c r="E80" s="114"/>
      <c r="F80" s="114"/>
      <c r="G80" s="114"/>
      <c r="H80" s="114"/>
      <c r="I80" s="95"/>
    </row>
    <row r="81" spans="1:9">
      <c r="A81" s="94"/>
      <c r="E81" s="95"/>
      <c r="F81" s="95"/>
      <c r="G81" s="95"/>
      <c r="H81" s="95"/>
      <c r="I81" s="95"/>
    </row>
    <row r="82" spans="1:9">
      <c r="A82" s="94"/>
      <c r="E82" s="95"/>
      <c r="F82" s="95"/>
      <c r="G82" s="95"/>
      <c r="H82" s="95"/>
      <c r="I82" s="95"/>
    </row>
    <row r="83" spans="1:9" ht="14" customHeight="1">
      <c r="A83" s="94"/>
      <c r="E83" s="114" t="s">
        <v>191</v>
      </c>
      <c r="F83" s="114"/>
      <c r="G83" s="114"/>
      <c r="H83" s="114"/>
      <c r="I83" s="95"/>
    </row>
    <row r="84" spans="1:9" ht="14" customHeight="1">
      <c r="A84" s="94"/>
      <c r="E84" s="114"/>
      <c r="F84" s="114"/>
      <c r="G84" s="114"/>
      <c r="H84" s="114"/>
    </row>
    <row r="85" spans="1:9">
      <c r="A85" s="94"/>
      <c r="E85" s="114"/>
      <c r="F85" s="114"/>
      <c r="G85" s="114"/>
      <c r="H85" s="114"/>
    </row>
    <row r="86" spans="1:9">
      <c r="A86" s="94"/>
      <c r="E86" s="114"/>
      <c r="F86" s="114"/>
      <c r="G86" s="114"/>
      <c r="H86" s="114"/>
    </row>
    <row r="87" spans="1:9">
      <c r="A87" s="94"/>
      <c r="E87" s="114"/>
      <c r="F87" s="114"/>
      <c r="G87" s="114"/>
      <c r="H87" s="114"/>
    </row>
    <row r="88" spans="1:9">
      <c r="A88" s="94"/>
      <c r="E88" s="114"/>
      <c r="F88" s="114"/>
      <c r="G88" s="114"/>
      <c r="H88" s="114"/>
    </row>
    <row r="89" spans="1:9">
      <c r="A89" s="94"/>
    </row>
    <row r="90" spans="1:9">
      <c r="A90" s="94"/>
      <c r="E90" t="s">
        <v>192</v>
      </c>
    </row>
    <row r="91" spans="1:9">
      <c r="A91" s="94"/>
      <c r="F91" s="27" t="s">
        <v>193</v>
      </c>
    </row>
    <row r="92" spans="1:9">
      <c r="A92" s="94"/>
      <c r="F92" s="27" t="s">
        <v>194</v>
      </c>
    </row>
    <row r="93" spans="1:9">
      <c r="A93" s="94"/>
      <c r="F93" s="27" t="s">
        <v>195</v>
      </c>
    </row>
    <row r="94" spans="1:9">
      <c r="A94" s="94"/>
      <c r="F94" s="27" t="s">
        <v>196</v>
      </c>
    </row>
    <row r="95" spans="1:9">
      <c r="A95" s="94"/>
    </row>
    <row r="96" spans="1:9">
      <c r="A96" s="94"/>
    </row>
    <row r="97" spans="1:6">
      <c r="A97" s="94"/>
    </row>
    <row r="98" spans="1:6">
      <c r="A98" s="94"/>
    </row>
    <row r="99" spans="1:6">
      <c r="A99" s="94"/>
    </row>
    <row r="100" spans="1:6" ht="33" thickBot="1">
      <c r="A100" s="96" t="s">
        <v>197</v>
      </c>
      <c r="B100" s="97" t="s">
        <v>198</v>
      </c>
      <c r="C100" s="98" t="s">
        <v>199</v>
      </c>
      <c r="D100" s="98" t="s">
        <v>200</v>
      </c>
      <c r="E100" s="97" t="s">
        <v>201</v>
      </c>
      <c r="F100" s="97" t="s">
        <v>202</v>
      </c>
    </row>
    <row r="101" spans="1:6" ht="16" thickTop="1">
      <c r="A101" s="106" t="s">
        <v>203</v>
      </c>
      <c r="B101" s="99" t="s">
        <v>204</v>
      </c>
      <c r="C101" s="99" t="s">
        <v>204</v>
      </c>
      <c r="D101" s="99" t="s">
        <v>205</v>
      </c>
      <c r="E101" s="99"/>
      <c r="F101" s="99" t="s">
        <v>205</v>
      </c>
    </row>
    <row r="102" spans="1:6">
      <c r="A102" s="106" t="s">
        <v>206</v>
      </c>
      <c r="B102" s="100" t="s">
        <v>204</v>
      </c>
      <c r="C102" s="100" t="s">
        <v>204</v>
      </c>
      <c r="D102" s="100" t="s">
        <v>205</v>
      </c>
      <c r="E102" s="100" t="s">
        <v>204</v>
      </c>
      <c r="F102" s="100" t="s">
        <v>205</v>
      </c>
    </row>
    <row r="103" spans="1:6">
      <c r="A103" t="s">
        <v>207</v>
      </c>
      <c r="B103" s="100" t="s">
        <v>204</v>
      </c>
      <c r="C103" s="100" t="s">
        <v>204</v>
      </c>
      <c r="D103" s="100" t="s">
        <v>205</v>
      </c>
      <c r="E103" s="100" t="s">
        <v>208</v>
      </c>
      <c r="F103" s="100" t="s">
        <v>205</v>
      </c>
    </row>
    <row r="104" spans="1:6">
      <c r="A104" s="106" t="s">
        <v>209</v>
      </c>
      <c r="B104" s="100" t="s">
        <v>210</v>
      </c>
      <c r="C104" s="100" t="s">
        <v>204</v>
      </c>
      <c r="D104" s="100"/>
      <c r="E104" s="101"/>
      <c r="F104" s="101"/>
    </row>
    <row r="105" spans="1:6">
      <c r="A105" t="s">
        <v>211</v>
      </c>
      <c r="B105" s="99" t="s">
        <v>210</v>
      </c>
      <c r="C105" s="99" t="s">
        <v>204</v>
      </c>
      <c r="D105" s="99" t="s">
        <v>208</v>
      </c>
      <c r="E105" s="99" t="s">
        <v>208</v>
      </c>
      <c r="F105" s="99" t="s">
        <v>208</v>
      </c>
    </row>
    <row r="106" spans="1:6">
      <c r="A106" s="106" t="s">
        <v>212</v>
      </c>
      <c r="B106" s="100"/>
      <c r="C106" s="100"/>
      <c r="D106" s="100"/>
      <c r="E106" s="101"/>
      <c r="F106" s="100" t="s">
        <v>204</v>
      </c>
    </row>
    <row r="107" spans="1:6">
      <c r="A107" s="106" t="s">
        <v>213</v>
      </c>
      <c r="B107" s="99" t="s">
        <v>204</v>
      </c>
      <c r="C107" s="99" t="s">
        <v>204</v>
      </c>
      <c r="D107" s="99" t="s">
        <v>205</v>
      </c>
      <c r="E107" s="99" t="s">
        <v>204</v>
      </c>
      <c r="F107" s="100" t="s">
        <v>205</v>
      </c>
    </row>
    <row r="108" spans="1:6">
      <c r="A108" s="106" t="s">
        <v>214</v>
      </c>
      <c r="B108" s="100"/>
      <c r="C108" s="100" t="s">
        <v>204</v>
      </c>
      <c r="D108" s="100"/>
      <c r="E108" s="101"/>
      <c r="F108" s="99" t="s">
        <v>205</v>
      </c>
    </row>
    <row r="109" spans="1:6">
      <c r="A109" t="s">
        <v>215</v>
      </c>
      <c r="B109" s="99" t="s">
        <v>204</v>
      </c>
      <c r="C109" s="99" t="s">
        <v>204</v>
      </c>
      <c r="D109" s="100" t="s">
        <v>208</v>
      </c>
      <c r="E109" s="100" t="s">
        <v>208</v>
      </c>
      <c r="F109" s="99" t="s">
        <v>205</v>
      </c>
    </row>
    <row r="110" spans="1:6">
      <c r="A110" s="106" t="s">
        <v>216</v>
      </c>
      <c r="B110" s="100"/>
      <c r="C110" s="100"/>
      <c r="D110" s="100"/>
      <c r="E110" s="101"/>
      <c r="F110" s="100"/>
    </row>
    <row r="111" spans="1:6">
      <c r="A111" t="s">
        <v>217</v>
      </c>
      <c r="B111" s="99" t="s">
        <v>204</v>
      </c>
      <c r="C111" s="99" t="s">
        <v>204</v>
      </c>
      <c r="D111" s="100" t="s">
        <v>208</v>
      </c>
      <c r="E111" s="100" t="s">
        <v>208</v>
      </c>
      <c r="F111" s="100" t="s">
        <v>208</v>
      </c>
    </row>
    <row r="112" spans="1:6">
      <c r="A112" s="106" t="s">
        <v>218</v>
      </c>
      <c r="B112" s="100"/>
      <c r="C112" s="100"/>
      <c r="D112" s="100"/>
      <c r="E112" s="101"/>
      <c r="F112" s="100"/>
    </row>
    <row r="113" spans="1:6">
      <c r="A113" t="s">
        <v>219</v>
      </c>
      <c r="B113" s="99" t="s">
        <v>204</v>
      </c>
      <c r="C113" s="99" t="s">
        <v>204</v>
      </c>
      <c r="D113" s="100" t="s">
        <v>208</v>
      </c>
      <c r="E113" s="100" t="s">
        <v>208</v>
      </c>
      <c r="F113" s="100" t="s">
        <v>208</v>
      </c>
    </row>
    <row r="115" spans="1:6">
      <c r="A115" t="s">
        <v>220</v>
      </c>
    </row>
  </sheetData>
  <sheetProtection algorithmName="SHA-512" hashValue="3ujOed6Yp2KDCnN/b4ajmFyyFc2AXFdoWoqhvIOnJIQlYWt7zYsVNlj5tymA+Ygr+wd5wpkIunozBP80mQYCzw==" saltValue="efDknH+Spgaf/Nw7EJmO4w==" spinCount="100000" sheet="1" selectLockedCells="1"/>
  <mergeCells count="21">
    <mergeCell ref="H19:I19"/>
    <mergeCell ref="A15:A18"/>
    <mergeCell ref="H15:I15"/>
    <mergeCell ref="H16:I16"/>
    <mergeCell ref="H17:I17"/>
    <mergeCell ref="H18:I18"/>
    <mergeCell ref="A8:J8"/>
    <mergeCell ref="H13:I13"/>
    <mergeCell ref="H14:I14"/>
    <mergeCell ref="A10:J10"/>
    <mergeCell ref="A11:J11"/>
    <mergeCell ref="F12:J12"/>
    <mergeCell ref="A47:A48"/>
    <mergeCell ref="H20:I20"/>
    <mergeCell ref="H21:I21"/>
    <mergeCell ref="H22:I22"/>
    <mergeCell ref="E83:H88"/>
    <mergeCell ref="A69:A74"/>
    <mergeCell ref="E77:H80"/>
    <mergeCell ref="A42:J43"/>
    <mergeCell ref="A66:J66"/>
  </mergeCells>
  <hyperlinks>
    <hyperlink ref="A101" r:id="rId1" xr:uid="{76FB342F-B3B6-EB4F-8EF7-E24836010C4A}"/>
    <hyperlink ref="A102" r:id="rId2" xr:uid="{30FD2730-BC2E-494C-8186-4824FCBCEA79}"/>
    <hyperlink ref="A104" r:id="rId3" xr:uid="{0C5518FA-6DA5-C84A-AFD1-CF9A0954BFA7}"/>
    <hyperlink ref="A106" r:id="rId4" xr:uid="{3F256C6E-18CD-144B-AE52-AFDD3C5B40FF}"/>
    <hyperlink ref="A107" r:id="rId5" xr:uid="{DA6B6EE0-FFD3-7D4B-852A-F4210556A659}"/>
    <hyperlink ref="A108" r:id="rId6" xr:uid="{74D80566-2D78-3B4E-8B0D-5053E8911B25}"/>
    <hyperlink ref="A110" r:id="rId7" xr:uid="{D6131D61-ED90-974D-B53D-34729AF23CE1}"/>
    <hyperlink ref="A112" r:id="rId8" xr:uid="{17F731DB-8281-FF43-AD37-5B2C739CB41D}"/>
  </hyperlinks>
  <pageMargins left="0.7" right="0.7" top="0.75" bottom="0.75" header="0.3" footer="0.3"/>
  <pageSetup scale="53" fitToHeight="0" orientation="landscape" horizontalDpi="1200" verticalDpi="1200" r:id="rId9"/>
  <headerFooter>
    <oddFooter>&amp;CSubject to Terms of Use
MIT CENTER FOR BIOMEDICAL INNOVATION
NEWDIGS/FoCUS</oddFooter>
  </headerFooter>
  <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'Hidden Drop Down Lists'!$A$28:$A$31</xm:f>
          </x14:formula1>
          <xm:sqref>A22</xm:sqref>
        </x14:dataValidation>
        <x14:dataValidation type="list" allowBlank="1" showInputMessage="1" showErrorMessage="1" xr:uid="{495118CA-BAAF-489C-9939-7C504B32FBC0}">
          <x14:formula1>
            <xm:f>'Hidden Drop Down Lists'!$C$9:$C$11</xm:f>
          </x14:formula1>
          <xm:sqref>B48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1"/>
  <sheetViews>
    <sheetView zoomScale="80" zoomScaleNormal="80" workbookViewId="0">
      <selection activeCell="C14" sqref="C14"/>
    </sheetView>
  </sheetViews>
  <sheetFormatPr baseColWidth="10" defaultColWidth="8.83203125" defaultRowHeight="15"/>
  <cols>
    <col min="2" max="2" width="23.1640625" customWidth="1"/>
    <col min="3" max="3" width="8.83203125" customWidth="1"/>
    <col min="7" max="7" width="9" customWidth="1"/>
  </cols>
  <sheetData>
    <row r="1" spans="2:15">
      <c r="B1" s="53" t="s">
        <v>221</v>
      </c>
    </row>
    <row r="2" spans="2:15" ht="16" thickBot="1">
      <c r="C2">
        <f ca="1">IF(C3&lt;YEAR(TODAY()),0,IF(C3=YEAR(TODAY()),1,B2+1))</f>
        <v>1</v>
      </c>
      <c r="D2">
        <f t="shared" ref="D2:O2" ca="1" si="0">IF(D3&lt;YEAR(TODAY()),0,IF(D3=YEAR(TODAY()),1,C2+1))</f>
        <v>2</v>
      </c>
      <c r="E2">
        <f t="shared" ca="1" si="0"/>
        <v>3</v>
      </c>
      <c r="F2">
        <f t="shared" ca="1" si="0"/>
        <v>4</v>
      </c>
      <c r="G2">
        <f t="shared" ca="1" si="0"/>
        <v>5</v>
      </c>
      <c r="H2">
        <f t="shared" ca="1" si="0"/>
        <v>6</v>
      </c>
      <c r="I2">
        <f t="shared" ca="1" si="0"/>
        <v>7</v>
      </c>
      <c r="J2">
        <f t="shared" ca="1" si="0"/>
        <v>8</v>
      </c>
      <c r="K2">
        <f t="shared" ca="1" si="0"/>
        <v>9</v>
      </c>
      <c r="L2">
        <f t="shared" ca="1" si="0"/>
        <v>10</v>
      </c>
      <c r="M2">
        <f t="shared" ca="1" si="0"/>
        <v>11</v>
      </c>
      <c r="N2">
        <f t="shared" ca="1" si="0"/>
        <v>12</v>
      </c>
      <c r="O2">
        <f t="shared" ca="1" si="0"/>
        <v>13</v>
      </c>
    </row>
    <row r="3" spans="2:15" ht="16" thickBot="1">
      <c r="B3" s="52" t="s">
        <v>222</v>
      </c>
      <c r="C3" s="43">
        <v>2023</v>
      </c>
      <c r="D3" s="44">
        <v>2024</v>
      </c>
      <c r="E3" s="44">
        <v>2025</v>
      </c>
      <c r="F3" s="44">
        <v>2026</v>
      </c>
      <c r="G3" s="44">
        <v>2027</v>
      </c>
      <c r="H3" s="44">
        <v>2028</v>
      </c>
      <c r="I3" s="44">
        <v>2029</v>
      </c>
      <c r="J3" s="44">
        <v>2030</v>
      </c>
      <c r="K3" s="44">
        <v>2031</v>
      </c>
      <c r="L3" s="44">
        <v>2032</v>
      </c>
      <c r="M3" s="44">
        <v>2033</v>
      </c>
      <c r="N3" s="44">
        <v>2034</v>
      </c>
      <c r="O3" s="45">
        <v>2035</v>
      </c>
    </row>
    <row r="4" spans="2:15">
      <c r="B4" s="46" t="s">
        <v>223</v>
      </c>
      <c r="C4" s="47">
        <v>5102.7357594468058</v>
      </c>
      <c r="D4" s="48">
        <v>9624.763807220017</v>
      </c>
      <c r="E4" s="48">
        <v>13587.853587084706</v>
      </c>
      <c r="F4" s="48">
        <v>19009.981161365096</v>
      </c>
      <c r="G4" s="48">
        <v>21485.500033618035</v>
      </c>
      <c r="H4" s="48">
        <v>23433.862944439847</v>
      </c>
      <c r="I4" s="48">
        <v>25000.108953441228</v>
      </c>
      <c r="J4" s="48">
        <v>26635.768455081437</v>
      </c>
      <c r="K4" s="48">
        <v>27721.625804177631</v>
      </c>
      <c r="L4" s="48">
        <v>28444.886181354694</v>
      </c>
      <c r="M4" s="48">
        <v>29054.177900832921</v>
      </c>
      <c r="N4" s="48">
        <v>29321.669283706618</v>
      </c>
      <c r="O4" s="49">
        <v>29366.842255511427</v>
      </c>
    </row>
    <row r="5" spans="2:15">
      <c r="B5" s="50" t="s">
        <v>224</v>
      </c>
      <c r="C5" s="38">
        <v>5102.735759440212</v>
      </c>
      <c r="D5" s="37">
        <v>5773.0959434538372</v>
      </c>
      <c r="E5" s="37">
        <v>8199.3531932530277</v>
      </c>
      <c r="F5" s="37">
        <v>12241.607658286608</v>
      </c>
      <c r="G5" s="37">
        <v>14786.096622571808</v>
      </c>
      <c r="H5" s="37">
        <v>16493.876954602481</v>
      </c>
      <c r="I5" s="37">
        <v>17829.726423621589</v>
      </c>
      <c r="J5" s="37">
        <v>18891.473657744795</v>
      </c>
      <c r="K5" s="37">
        <v>19631.24982534958</v>
      </c>
      <c r="L5" s="37">
        <v>20205.072230352704</v>
      </c>
      <c r="M5" s="37">
        <v>20615.123422631888</v>
      </c>
      <c r="N5" s="37">
        <v>20871.908697457508</v>
      </c>
      <c r="O5" s="39">
        <v>21011.25710556587</v>
      </c>
    </row>
    <row r="6" spans="2:15" ht="16" thickBot="1">
      <c r="B6" s="51" t="s">
        <v>225</v>
      </c>
      <c r="C6" s="40">
        <v>5102.7357594468058</v>
      </c>
      <c r="D6" s="41">
        <v>5165.6131011952039</v>
      </c>
      <c r="E6" s="41">
        <v>5270.7519665218188</v>
      </c>
      <c r="F6" s="41">
        <v>5801.3611459264903</v>
      </c>
      <c r="G6" s="41">
        <v>7282.0050431183736</v>
      </c>
      <c r="H6" s="41">
        <v>12755.054470212152</v>
      </c>
      <c r="I6" s="41">
        <v>13333.512737859186</v>
      </c>
      <c r="J6" s="41">
        <v>13926.075868917018</v>
      </c>
      <c r="K6" s="41">
        <v>14413.502899556064</v>
      </c>
      <c r="L6" s="41">
        <v>14826.400467225567</v>
      </c>
      <c r="M6" s="41">
        <v>15155.59844213149</v>
      </c>
      <c r="N6" s="41">
        <v>15420.457294697855</v>
      </c>
      <c r="O6" s="42">
        <v>15593.095556418397</v>
      </c>
    </row>
    <row r="7" spans="2:15" ht="16" thickBot="1"/>
    <row r="8" spans="2:15" ht="16" thickBot="1">
      <c r="B8" s="52" t="s">
        <v>226</v>
      </c>
      <c r="C8" s="43">
        <v>2023</v>
      </c>
      <c r="D8" s="44">
        <v>2024</v>
      </c>
      <c r="E8" s="44">
        <v>2025</v>
      </c>
      <c r="F8" s="44">
        <v>2026</v>
      </c>
      <c r="G8" s="44">
        <v>2027</v>
      </c>
      <c r="H8" s="44">
        <v>2028</v>
      </c>
      <c r="I8" s="44">
        <v>2029</v>
      </c>
      <c r="J8" s="44">
        <v>2030</v>
      </c>
      <c r="K8" s="44">
        <v>2031</v>
      </c>
      <c r="L8" s="44">
        <v>2032</v>
      </c>
      <c r="M8" s="44">
        <v>2033</v>
      </c>
      <c r="N8" s="44">
        <v>2034</v>
      </c>
      <c r="O8" s="45">
        <v>2035</v>
      </c>
    </row>
    <row r="9" spans="2:15">
      <c r="B9" s="46" t="s">
        <v>223</v>
      </c>
      <c r="C9" s="47">
        <v>1117.2189547387104</v>
      </c>
      <c r="D9" s="48">
        <v>6496.5946658073453</v>
      </c>
      <c r="E9" s="48">
        <v>16256.605434536415</v>
      </c>
      <c r="F9" s="48">
        <v>16069.724568506323</v>
      </c>
      <c r="G9" s="48">
        <v>14410.298870073122</v>
      </c>
      <c r="H9" s="48">
        <v>11663.840973962881</v>
      </c>
      <c r="I9" s="48">
        <v>9452.5884257578073</v>
      </c>
      <c r="J9" s="48">
        <v>8987.1134589404428</v>
      </c>
      <c r="K9" s="48">
        <v>8476.0611889351712</v>
      </c>
      <c r="L9" s="48">
        <v>8348.2091050988402</v>
      </c>
      <c r="M9" s="48">
        <v>8302.1001757888935</v>
      </c>
      <c r="N9" s="48">
        <v>8109.9404820296777</v>
      </c>
      <c r="O9" s="49">
        <v>7920.2647700790812</v>
      </c>
    </row>
    <row r="10" spans="2:15">
      <c r="B10" s="50" t="s">
        <v>224</v>
      </c>
      <c r="C10" s="38">
        <v>1117.2189547408884</v>
      </c>
      <c r="D10" s="37">
        <v>3125.3111101543986</v>
      </c>
      <c r="E10" s="37">
        <v>8434.1303454594345</v>
      </c>
      <c r="F10" s="37">
        <v>9978.971963869506</v>
      </c>
      <c r="G10" s="37">
        <v>7934.5086972401123</v>
      </c>
      <c r="H10" s="37">
        <v>6171.2868346861414</v>
      </c>
      <c r="I10" s="37">
        <v>5356.4192586209492</v>
      </c>
      <c r="J10" s="37">
        <v>5269.7137744010988</v>
      </c>
      <c r="K10" s="37">
        <v>5295.2586835114689</v>
      </c>
      <c r="L10" s="37">
        <v>5418.4081223740295</v>
      </c>
      <c r="M10" s="37">
        <v>5531.0104300823368</v>
      </c>
      <c r="N10" s="37">
        <v>5534.9948124996663</v>
      </c>
      <c r="O10" s="39">
        <v>5486.1194326188388</v>
      </c>
    </row>
    <row r="11" spans="2:15" ht="16" thickBot="1">
      <c r="B11" s="51" t="s">
        <v>225</v>
      </c>
      <c r="C11" s="40">
        <v>1117.2189547387104</v>
      </c>
      <c r="D11" s="41">
        <v>1391.5393117598278</v>
      </c>
      <c r="E11" s="41">
        <v>1832.5198251222491</v>
      </c>
      <c r="F11" s="41">
        <v>3972.3434527381864</v>
      </c>
      <c r="G11" s="41">
        <v>3542.0488470307055</v>
      </c>
      <c r="H11" s="41">
        <v>3405.5095938630643</v>
      </c>
      <c r="I11" s="41">
        <v>3408.0878002145496</v>
      </c>
      <c r="J11" s="41">
        <v>3505.5968106971864</v>
      </c>
      <c r="K11" s="41">
        <v>3614.8902375658413</v>
      </c>
      <c r="L11" s="41">
        <v>3736.3906987273481</v>
      </c>
      <c r="M11" s="41">
        <v>3844.6221987309464</v>
      </c>
      <c r="N11" s="41">
        <v>3913.5081328905994</v>
      </c>
      <c r="O11" s="42">
        <v>3956.1757174049117</v>
      </c>
    </row>
    <row r="12" spans="2:15" ht="16" thickBot="1"/>
    <row r="13" spans="2:15" ht="16" thickBot="1">
      <c r="B13" s="52" t="s">
        <v>161</v>
      </c>
      <c r="C13" s="43">
        <v>2023</v>
      </c>
      <c r="D13" s="44">
        <v>2024</v>
      </c>
      <c r="E13" s="44">
        <v>2025</v>
      </c>
      <c r="F13" s="44">
        <v>2026</v>
      </c>
      <c r="G13" s="44">
        <v>2027</v>
      </c>
      <c r="H13" s="44">
        <v>2028</v>
      </c>
      <c r="I13" s="44">
        <v>2029</v>
      </c>
      <c r="J13" s="44">
        <v>2030</v>
      </c>
      <c r="K13" s="44">
        <v>2031</v>
      </c>
      <c r="L13" s="44">
        <v>2032</v>
      </c>
      <c r="M13" s="44">
        <v>2033</v>
      </c>
      <c r="N13" s="44">
        <v>2034</v>
      </c>
      <c r="O13" s="45">
        <v>2035</v>
      </c>
    </row>
    <row r="14" spans="2:15" ht="16" thickBot="1">
      <c r="B14" s="46" t="s">
        <v>223</v>
      </c>
      <c r="C14" s="47">
        <f>C19-C4-C9</f>
        <v>3481.1687553343563</v>
      </c>
      <c r="D14" s="47">
        <f t="shared" ref="D14:O14" si="1">D19-D4-D9</f>
        <v>6932.4236473104129</v>
      </c>
      <c r="E14" s="47">
        <f t="shared" si="1"/>
        <v>17042.30759523654</v>
      </c>
      <c r="F14" s="47">
        <f t="shared" si="1"/>
        <v>16910.20401651159</v>
      </c>
      <c r="G14" s="47">
        <f t="shared" si="1"/>
        <v>15555.447838946809</v>
      </c>
      <c r="H14" s="47">
        <f t="shared" si="1"/>
        <v>13902.276213728361</v>
      </c>
      <c r="I14" s="47">
        <f t="shared" si="1"/>
        <v>13624.562673509568</v>
      </c>
      <c r="J14" s="47">
        <f t="shared" si="1"/>
        <v>14258.381971052917</v>
      </c>
      <c r="K14" s="47">
        <f t="shared" si="1"/>
        <v>14955.565662920497</v>
      </c>
      <c r="L14" s="47">
        <f t="shared" si="1"/>
        <v>15616.951287678969</v>
      </c>
      <c r="M14" s="47">
        <f t="shared" si="1"/>
        <v>15920.653119948793</v>
      </c>
      <c r="N14" s="47">
        <f t="shared" si="1"/>
        <v>15924.936858283832</v>
      </c>
      <c r="O14" s="47">
        <f t="shared" si="1"/>
        <v>15724.47035709519</v>
      </c>
    </row>
    <row r="15" spans="2:15" ht="16" thickBot="1">
      <c r="B15" s="50" t="s">
        <v>224</v>
      </c>
      <c r="C15" s="47">
        <f t="shared" ref="C15:O16" si="2">C20-C5-C10</f>
        <v>3481.1687551618502</v>
      </c>
      <c r="D15" s="47">
        <f t="shared" si="2"/>
        <v>6499.4772191134616</v>
      </c>
      <c r="E15" s="47">
        <f t="shared" si="2"/>
        <v>12624.653478792072</v>
      </c>
      <c r="F15" s="47">
        <f t="shared" si="2"/>
        <v>14838.763172929368</v>
      </c>
      <c r="G15" s="47">
        <f t="shared" si="2"/>
        <v>12969.203540599745</v>
      </c>
      <c r="H15" s="47">
        <f t="shared" si="2"/>
        <v>11639.449115459442</v>
      </c>
      <c r="I15" s="47">
        <f t="shared" si="2"/>
        <v>11506.665785159181</v>
      </c>
      <c r="J15" s="47">
        <f t="shared" si="2"/>
        <v>12157.506043429046</v>
      </c>
      <c r="K15" s="47">
        <f t="shared" si="2"/>
        <v>12675.307104160422</v>
      </c>
      <c r="L15" s="47">
        <f t="shared" si="2"/>
        <v>13171.102743688123</v>
      </c>
      <c r="M15" s="47">
        <f t="shared" si="2"/>
        <v>13502.864820627761</v>
      </c>
      <c r="N15" s="47">
        <f t="shared" si="2"/>
        <v>13493.754843853047</v>
      </c>
      <c r="O15" s="47">
        <f t="shared" si="2"/>
        <v>13319.299218427605</v>
      </c>
    </row>
    <row r="16" spans="2:15" ht="16" thickBot="1">
      <c r="B16" s="51" t="s">
        <v>225</v>
      </c>
      <c r="C16" s="47">
        <f t="shared" si="2"/>
        <v>3481.1687553343563</v>
      </c>
      <c r="D16" s="47">
        <f t="shared" si="2"/>
        <v>4473.4915471991908</v>
      </c>
      <c r="E16" s="47">
        <f t="shared" si="2"/>
        <v>6240.894726705018</v>
      </c>
      <c r="F16" s="47">
        <f t="shared" si="2"/>
        <v>12536.44160233935</v>
      </c>
      <c r="G16" s="47">
        <f t="shared" si="2"/>
        <v>12084.74241877149</v>
      </c>
      <c r="H16" s="47">
        <f t="shared" si="2"/>
        <v>7595.5280841059484</v>
      </c>
      <c r="I16" s="47">
        <f t="shared" si="2"/>
        <v>8083.5794175831052</v>
      </c>
      <c r="J16" s="47">
        <f t="shared" si="2"/>
        <v>8760.8493284841334</v>
      </c>
      <c r="K16" s="47">
        <f t="shared" si="2"/>
        <v>9308.0436607959618</v>
      </c>
      <c r="L16" s="47">
        <f t="shared" si="2"/>
        <v>9843.555626589392</v>
      </c>
      <c r="M16" s="47">
        <f t="shared" si="2"/>
        <v>10237.480149958992</v>
      </c>
      <c r="N16" s="47">
        <f t="shared" si="2"/>
        <v>10300.098629994418</v>
      </c>
      <c r="O16" s="47">
        <f t="shared" si="2"/>
        <v>10257.493188560788</v>
      </c>
    </row>
    <row r="17" spans="2:15" ht="16" thickBot="1"/>
    <row r="18" spans="2:15" ht="16" thickBot="1">
      <c r="B18" s="52" t="s">
        <v>227</v>
      </c>
      <c r="C18" s="43">
        <v>2023</v>
      </c>
      <c r="D18" s="44">
        <v>2024</v>
      </c>
      <c r="E18" s="44">
        <v>2025</v>
      </c>
      <c r="F18" s="44">
        <v>2026</v>
      </c>
      <c r="G18" s="44">
        <v>2027</v>
      </c>
      <c r="H18" s="44">
        <v>2028</v>
      </c>
      <c r="I18" s="44">
        <v>2029</v>
      </c>
      <c r="J18" s="44">
        <v>2030</v>
      </c>
      <c r="K18" s="44">
        <v>2031</v>
      </c>
      <c r="L18" s="44">
        <v>2032</v>
      </c>
      <c r="M18" s="44">
        <v>2033</v>
      </c>
      <c r="N18" s="44">
        <v>2034</v>
      </c>
      <c r="O18" s="45">
        <v>2035</v>
      </c>
    </row>
    <row r="19" spans="2:15">
      <c r="B19" s="46" t="s">
        <v>223</v>
      </c>
      <c r="C19" s="47">
        <v>9701.1234695198727</v>
      </c>
      <c r="D19" s="48">
        <v>23053.782120337775</v>
      </c>
      <c r="E19" s="48">
        <v>46886.766616857662</v>
      </c>
      <c r="F19" s="48">
        <v>51989.909746383011</v>
      </c>
      <c r="G19" s="48">
        <v>51451.246742637966</v>
      </c>
      <c r="H19" s="48">
        <v>48999.980132131088</v>
      </c>
      <c r="I19" s="48">
        <v>48077.260052708603</v>
      </c>
      <c r="J19" s="48">
        <v>49881.263885074797</v>
      </c>
      <c r="K19" s="48">
        <v>51153.252656033299</v>
      </c>
      <c r="L19" s="48">
        <v>52410.046574132502</v>
      </c>
      <c r="M19" s="48">
        <v>53276.931196570607</v>
      </c>
      <c r="N19" s="48">
        <v>53356.546624020128</v>
      </c>
      <c r="O19" s="49">
        <v>53011.577382685697</v>
      </c>
    </row>
    <row r="20" spans="2:15">
      <c r="B20" s="50" t="s">
        <v>224</v>
      </c>
      <c r="C20" s="38">
        <v>9701.1234693429506</v>
      </c>
      <c r="D20" s="37">
        <v>15397.884272721696</v>
      </c>
      <c r="E20" s="37">
        <v>29258.137017504534</v>
      </c>
      <c r="F20" s="37">
        <v>37059.342795085482</v>
      </c>
      <c r="G20" s="37">
        <v>35689.808860411664</v>
      </c>
      <c r="H20" s="37">
        <v>34304.612904748064</v>
      </c>
      <c r="I20" s="37">
        <v>34692.81146740172</v>
      </c>
      <c r="J20" s="37">
        <v>36318.693475574939</v>
      </c>
      <c r="K20" s="37">
        <v>37601.81561302147</v>
      </c>
      <c r="L20" s="37">
        <v>38794.583096414855</v>
      </c>
      <c r="M20" s="37">
        <v>39648.998673341986</v>
      </c>
      <c r="N20" s="37">
        <v>39900.65835381022</v>
      </c>
      <c r="O20" s="39">
        <v>39816.675756612312</v>
      </c>
    </row>
    <row r="21" spans="2:15" ht="16" thickBot="1">
      <c r="B21" s="51" t="s">
        <v>225</v>
      </c>
      <c r="C21" s="40">
        <v>9701.1234695198727</v>
      </c>
      <c r="D21" s="41">
        <v>11030.643960154222</v>
      </c>
      <c r="E21" s="41">
        <v>13344.166518349086</v>
      </c>
      <c r="F21" s="41">
        <v>22310.146201004027</v>
      </c>
      <c r="G21" s="41">
        <v>22908.79630892057</v>
      </c>
      <c r="H21" s="41">
        <v>23756.092148181164</v>
      </c>
      <c r="I21" s="41">
        <v>24825.17995565684</v>
      </c>
      <c r="J21" s="41">
        <v>26192.522008098338</v>
      </c>
      <c r="K21" s="41">
        <v>27336.436797917868</v>
      </c>
      <c r="L21" s="41">
        <v>28406.346792542307</v>
      </c>
      <c r="M21" s="41">
        <v>29237.700790821429</v>
      </c>
      <c r="N21" s="41">
        <v>29634.064057582873</v>
      </c>
      <c r="O21" s="42">
        <v>29806.764462384097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H32"/>
  <sheetViews>
    <sheetView workbookViewId="0">
      <selection activeCell="C13" sqref="C13"/>
    </sheetView>
  </sheetViews>
  <sheetFormatPr baseColWidth="10" defaultColWidth="8.83203125" defaultRowHeight="15"/>
  <cols>
    <col min="1" max="1" width="37.1640625" bestFit="1" customWidth="1"/>
    <col min="3" max="3" width="14.5" bestFit="1" customWidth="1"/>
    <col min="4" max="4" width="14.5" customWidth="1"/>
    <col min="6" max="6" width="29.5" bestFit="1" customWidth="1"/>
    <col min="8" max="8" width="23.5" customWidth="1"/>
  </cols>
  <sheetData>
    <row r="2" spans="1:8">
      <c r="A2" s="1" t="s">
        <v>228</v>
      </c>
    </row>
    <row r="4" spans="1:8">
      <c r="A4" s="1" t="s">
        <v>229</v>
      </c>
      <c r="C4" s="3" t="s">
        <v>230</v>
      </c>
      <c r="D4" s="30"/>
      <c r="F4" s="3" t="s">
        <v>231</v>
      </c>
      <c r="H4" s="3" t="s">
        <v>232</v>
      </c>
    </row>
    <row r="5" spans="1:8">
      <c r="A5" s="2" t="s">
        <v>233</v>
      </c>
      <c r="C5" s="4" t="s">
        <v>234</v>
      </c>
      <c r="D5" s="31"/>
      <c r="F5" s="4" t="s">
        <v>235</v>
      </c>
      <c r="H5" s="4" t="s">
        <v>236</v>
      </c>
    </row>
    <row r="6" spans="1:8">
      <c r="A6" s="2" t="s">
        <v>237</v>
      </c>
      <c r="C6" s="5" t="s">
        <v>238</v>
      </c>
      <c r="D6" s="32"/>
      <c r="F6" s="5" t="s">
        <v>239</v>
      </c>
      <c r="H6" s="5" t="s">
        <v>240</v>
      </c>
    </row>
    <row r="7" spans="1:8">
      <c r="H7" s="4" t="s">
        <v>241</v>
      </c>
    </row>
    <row r="8" spans="1:8">
      <c r="A8" s="1" t="s">
        <v>242</v>
      </c>
      <c r="C8" s="3" t="s">
        <v>243</v>
      </c>
      <c r="D8" s="3" t="s">
        <v>244</v>
      </c>
      <c r="H8" s="5" t="s">
        <v>245</v>
      </c>
    </row>
    <row r="9" spans="1:8">
      <c r="A9" s="2" t="s">
        <v>246</v>
      </c>
      <c r="C9" s="2" t="s">
        <v>224</v>
      </c>
      <c r="D9">
        <v>2</v>
      </c>
      <c r="F9" s="3" t="s">
        <v>247</v>
      </c>
      <c r="H9" s="4" t="s">
        <v>248</v>
      </c>
    </row>
    <row r="10" spans="1:8">
      <c r="A10" s="2" t="s">
        <v>249</v>
      </c>
      <c r="C10" s="56">
        <v>0.95</v>
      </c>
      <c r="D10">
        <v>1</v>
      </c>
      <c r="F10" s="4" t="s">
        <v>250</v>
      </c>
      <c r="H10" s="5" t="s">
        <v>251</v>
      </c>
    </row>
    <row r="11" spans="1:8">
      <c r="C11" s="56">
        <v>0.05</v>
      </c>
      <c r="D11">
        <v>3</v>
      </c>
      <c r="F11" s="5" t="s">
        <v>252</v>
      </c>
    </row>
    <row r="12" spans="1:8">
      <c r="A12" s="1" t="s">
        <v>253</v>
      </c>
      <c r="C12" s="57" t="s">
        <v>254</v>
      </c>
      <c r="D12" s="8">
        <f>INDEX($D$9:$D$11,MATCH('Pipeline Estimator Tool'!$B$48,$C$9:$C$11,0),1)</f>
        <v>3</v>
      </c>
      <c r="H12" s="3" t="s">
        <v>255</v>
      </c>
    </row>
    <row r="13" spans="1:8">
      <c r="A13" s="2" t="s">
        <v>233</v>
      </c>
      <c r="H13" s="4" t="s">
        <v>256</v>
      </c>
    </row>
    <row r="14" spans="1:8">
      <c r="A14" s="2" t="s">
        <v>237</v>
      </c>
      <c r="F14" s="3" t="s">
        <v>257</v>
      </c>
      <c r="H14" s="5" t="s">
        <v>258</v>
      </c>
    </row>
    <row r="15" spans="1:8">
      <c r="F15" s="4" t="s">
        <v>259</v>
      </c>
    </row>
    <row r="16" spans="1:8">
      <c r="A16" s="6" t="s">
        <v>260</v>
      </c>
      <c r="F16" s="5" t="s">
        <v>261</v>
      </c>
    </row>
    <row r="17" spans="1:8">
      <c r="F17" t="s">
        <v>262</v>
      </c>
      <c r="H17" s="1"/>
    </row>
    <row r="18" spans="1:8">
      <c r="A18" s="33" t="s">
        <v>229</v>
      </c>
      <c r="C18" s="34" t="s">
        <v>263</v>
      </c>
      <c r="D18" s="35" t="s">
        <v>264</v>
      </c>
    </row>
    <row r="19" spans="1:8">
      <c r="A19" s="2" t="s">
        <v>233</v>
      </c>
      <c r="C19" s="7">
        <v>400000</v>
      </c>
      <c r="D19" s="2">
        <v>1</v>
      </c>
      <c r="F19" s="3" t="s">
        <v>265</v>
      </c>
    </row>
    <row r="20" spans="1:8">
      <c r="A20" s="2" t="s">
        <v>237</v>
      </c>
      <c r="C20" s="7">
        <v>1500000</v>
      </c>
      <c r="D20" s="2">
        <v>2</v>
      </c>
      <c r="F20" s="4" t="s">
        <v>266</v>
      </c>
    </row>
    <row r="21" spans="1:8">
      <c r="C21" s="7">
        <v>800000</v>
      </c>
      <c r="D21" s="2">
        <v>3</v>
      </c>
      <c r="F21" s="5" t="s">
        <v>267</v>
      </c>
    </row>
    <row r="22" spans="1:8">
      <c r="A22" s="1" t="s">
        <v>229</v>
      </c>
      <c r="C22" s="7">
        <v>500000</v>
      </c>
      <c r="D22" s="2">
        <v>4</v>
      </c>
    </row>
    <row r="23" spans="1:8">
      <c r="A23" s="2" t="s">
        <v>204</v>
      </c>
      <c r="C23" s="7">
        <v>800000</v>
      </c>
      <c r="D23" s="2">
        <v>5</v>
      </c>
    </row>
    <row r="24" spans="1:8">
      <c r="A24" s="2" t="s">
        <v>268</v>
      </c>
      <c r="C24" s="7">
        <v>100000</v>
      </c>
      <c r="D24" s="2">
        <v>6</v>
      </c>
    </row>
    <row r="25" spans="1:8">
      <c r="C25" s="7">
        <v>50000</v>
      </c>
      <c r="D25" s="2">
        <v>7</v>
      </c>
    </row>
    <row r="27" spans="1:8">
      <c r="A27" s="34" t="s">
        <v>269</v>
      </c>
      <c r="B27" s="35" t="s">
        <v>244</v>
      </c>
      <c r="C27" s="34" t="s">
        <v>270</v>
      </c>
    </row>
    <row r="28" spans="1:8">
      <c r="A28" t="s">
        <v>222</v>
      </c>
      <c r="B28" s="2">
        <v>1</v>
      </c>
      <c r="C28" s="36">
        <v>63200000</v>
      </c>
    </row>
    <row r="29" spans="1:8">
      <c r="A29" t="s">
        <v>226</v>
      </c>
      <c r="B29" s="2">
        <v>2</v>
      </c>
      <c r="C29" s="36">
        <v>70225000</v>
      </c>
    </row>
    <row r="30" spans="1:8">
      <c r="A30" t="s">
        <v>161</v>
      </c>
      <c r="B30" s="2">
        <v>3</v>
      </c>
      <c r="C30" s="36">
        <f>C31-C28-C29</f>
        <v>198075000</v>
      </c>
    </row>
    <row r="31" spans="1:8">
      <c r="A31" t="s">
        <v>227</v>
      </c>
      <c r="B31" s="2">
        <v>4</v>
      </c>
      <c r="C31" s="36">
        <v>331500000</v>
      </c>
    </row>
    <row r="32" spans="1:8">
      <c r="A32" s="54" t="s">
        <v>254</v>
      </c>
      <c r="B32" s="54">
        <f>INDEX(B28:B31,MATCH('Pipeline Estimator Tool'!$A$22,$A$28:$A$31,0),1)</f>
        <v>3</v>
      </c>
      <c r="C32" s="55">
        <f>INDEX(C28:C31,MATCH('Pipeline Estimator Tool'!$A$22,$A$28:$A$31,0),1)</f>
        <v>198075000</v>
      </c>
    </row>
  </sheetData>
  <pageMargins left="0.7" right="0.7" top="0.75" bottom="0.75" header="0.3" footer="0.3"/>
  <pageSetup orientation="portrait"/>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D3:T37"/>
  <sheetViews>
    <sheetView workbookViewId="0">
      <selection activeCell="V3" sqref="V3"/>
    </sheetView>
  </sheetViews>
  <sheetFormatPr baseColWidth="10" defaultColWidth="8.83203125" defaultRowHeight="15"/>
  <sheetData>
    <row r="3" spans="4:20" ht="16" thickBot="1">
      <c r="D3" s="9"/>
      <c r="E3" s="9"/>
      <c r="F3" s="9"/>
      <c r="G3" s="9"/>
      <c r="H3" s="9"/>
      <c r="I3" s="9"/>
      <c r="M3" s="9"/>
      <c r="N3" s="9"/>
      <c r="O3" s="9"/>
      <c r="P3" s="9"/>
      <c r="Q3" s="9"/>
      <c r="R3" s="9"/>
      <c r="S3" s="9"/>
      <c r="T3" s="9"/>
    </row>
    <row r="4" spans="4:20" ht="16" thickBot="1">
      <c r="D4" s="9"/>
      <c r="E4" s="10" t="s">
        <v>271</v>
      </c>
      <c r="F4" s="11"/>
      <c r="G4" s="9"/>
      <c r="H4" s="9"/>
      <c r="I4" s="9"/>
      <c r="M4" s="9"/>
      <c r="N4" s="10" t="s">
        <v>272</v>
      </c>
      <c r="O4" s="11"/>
      <c r="P4" s="9"/>
      <c r="Q4" s="9"/>
      <c r="R4" s="9"/>
      <c r="S4" s="9"/>
      <c r="T4" s="9"/>
    </row>
    <row r="5" spans="4:20">
      <c r="D5" s="9"/>
      <c r="E5" s="9"/>
      <c r="F5" s="9"/>
      <c r="G5" s="9"/>
      <c r="H5" s="9" t="s">
        <v>273</v>
      </c>
      <c r="I5" s="9"/>
      <c r="M5" s="9"/>
      <c r="N5" s="9"/>
      <c r="O5" s="9"/>
      <c r="P5" s="9"/>
      <c r="Q5" s="9"/>
      <c r="R5" s="9"/>
      <c r="S5" s="9"/>
      <c r="T5" s="9"/>
    </row>
    <row r="6" spans="4:20">
      <c r="D6" s="9"/>
      <c r="E6" s="9" t="s">
        <v>274</v>
      </c>
      <c r="F6" s="9"/>
      <c r="G6" s="9"/>
      <c r="H6" s="9" t="s">
        <v>204</v>
      </c>
      <c r="I6" s="9"/>
      <c r="M6" s="9"/>
      <c r="N6" s="9"/>
      <c r="O6" s="9"/>
      <c r="P6" s="9"/>
      <c r="Q6" s="9"/>
      <c r="R6" s="9"/>
      <c r="S6" s="9"/>
      <c r="T6" s="9"/>
    </row>
    <row r="7" spans="4:20">
      <c r="D7" s="9"/>
      <c r="E7" s="9" t="s">
        <v>275</v>
      </c>
      <c r="F7" s="9"/>
      <c r="G7" s="9"/>
      <c r="H7" s="9" t="s">
        <v>268</v>
      </c>
      <c r="I7" s="9"/>
      <c r="M7" s="9"/>
      <c r="N7" s="9" t="s">
        <v>276</v>
      </c>
      <c r="O7" s="9" t="s">
        <v>277</v>
      </c>
      <c r="P7" s="9" t="s">
        <v>278</v>
      </c>
      <c r="Q7" s="9"/>
      <c r="R7" s="9"/>
      <c r="S7" s="9"/>
      <c r="T7" s="9"/>
    </row>
    <row r="8" spans="4:20">
      <c r="D8" s="9"/>
      <c r="E8" s="9" t="s">
        <v>279</v>
      </c>
      <c r="F8" s="9"/>
      <c r="G8" s="9"/>
      <c r="H8" s="9" t="s">
        <v>204</v>
      </c>
      <c r="I8" s="9"/>
      <c r="M8" s="9"/>
      <c r="N8" s="9">
        <v>1</v>
      </c>
      <c r="O8" s="9">
        <v>1</v>
      </c>
      <c r="P8" s="9">
        <v>1</v>
      </c>
      <c r="Q8" s="9"/>
      <c r="R8" s="9"/>
      <c r="S8" s="9"/>
      <c r="T8" s="9"/>
    </row>
    <row r="9" spans="4:20">
      <c r="D9" s="9"/>
      <c r="E9" s="9" t="s">
        <v>280</v>
      </c>
      <c r="F9" s="9"/>
      <c r="G9" s="9"/>
      <c r="H9" s="9" t="s">
        <v>268</v>
      </c>
      <c r="I9" s="9"/>
      <c r="M9" s="9"/>
      <c r="N9" s="9"/>
      <c r="O9" s="9"/>
      <c r="P9" s="9"/>
      <c r="Q9" s="9"/>
      <c r="R9" s="9"/>
      <c r="S9" s="9"/>
      <c r="T9" s="9"/>
    </row>
    <row r="10" spans="4:20">
      <c r="D10" s="9"/>
      <c r="E10" s="9" t="s">
        <v>281</v>
      </c>
      <c r="F10" s="9"/>
      <c r="G10" s="9"/>
      <c r="H10" s="9" t="s">
        <v>204</v>
      </c>
      <c r="I10" s="9"/>
      <c r="M10" s="9"/>
      <c r="N10" s="9" t="s">
        <v>276</v>
      </c>
      <c r="O10" s="9" t="s">
        <v>277</v>
      </c>
      <c r="P10" s="9" t="s">
        <v>278</v>
      </c>
      <c r="Q10" s="9"/>
      <c r="R10" s="9" t="s">
        <v>282</v>
      </c>
      <c r="S10" s="9"/>
      <c r="T10" s="9"/>
    </row>
    <row r="11" spans="4:20">
      <c r="D11" s="9"/>
      <c r="E11" s="9"/>
      <c r="F11" s="9"/>
      <c r="G11" s="9"/>
      <c r="H11" s="9"/>
      <c r="I11" s="9"/>
      <c r="M11" s="9"/>
      <c r="N11" s="9">
        <v>1</v>
      </c>
      <c r="O11" s="9">
        <v>1</v>
      </c>
      <c r="P11" s="9"/>
      <c r="Q11" s="9"/>
      <c r="R11" s="9">
        <f>IF(H6="Yes",1,0)</f>
        <v>1</v>
      </c>
      <c r="S11" s="9" t="s">
        <v>283</v>
      </c>
      <c r="T11" s="9"/>
    </row>
    <row r="12" spans="4:20">
      <c r="D12" s="9"/>
      <c r="E12" s="9"/>
      <c r="F12" s="9"/>
      <c r="G12" s="9"/>
      <c r="H12" s="9"/>
      <c r="I12" s="9"/>
      <c r="M12" s="9"/>
      <c r="N12" s="9">
        <v>0</v>
      </c>
      <c r="O12" s="9">
        <v>1</v>
      </c>
      <c r="P12" s="9"/>
      <c r="Q12" s="9"/>
      <c r="R12" s="9">
        <f>IF(H7="Yes",1,0)</f>
        <v>0</v>
      </c>
      <c r="S12" s="9" t="s">
        <v>284</v>
      </c>
      <c r="T12" s="9"/>
    </row>
    <row r="13" spans="4:20">
      <c r="D13" s="9"/>
      <c r="E13" s="9"/>
      <c r="F13" s="9"/>
      <c r="G13" s="9"/>
      <c r="H13" s="9"/>
      <c r="I13" s="9"/>
      <c r="M13" s="9"/>
      <c r="N13" s="9">
        <v>1</v>
      </c>
      <c r="O13" s="9"/>
      <c r="P13" s="9">
        <v>1</v>
      </c>
      <c r="Q13" s="9"/>
      <c r="R13" s="9">
        <f>IF(H8="Yes",1,0)</f>
        <v>1</v>
      </c>
      <c r="S13" s="9" t="s">
        <v>285</v>
      </c>
      <c r="T13" s="9"/>
    </row>
    <row r="14" spans="4:20">
      <c r="D14" s="9"/>
      <c r="E14" s="12" t="s">
        <v>286</v>
      </c>
      <c r="F14" s="9"/>
      <c r="G14" s="9"/>
      <c r="H14" s="9"/>
      <c r="I14" s="9"/>
      <c r="M14" s="9"/>
      <c r="N14" s="9">
        <v>1</v>
      </c>
      <c r="O14" s="9"/>
      <c r="P14" s="9"/>
      <c r="Q14" s="9"/>
      <c r="R14" s="9">
        <f>IF(H9="Yes",1,0)</f>
        <v>0</v>
      </c>
      <c r="S14" s="9" t="s">
        <v>287</v>
      </c>
      <c r="T14" s="9"/>
    </row>
    <row r="15" spans="4:20">
      <c r="M15" s="9"/>
      <c r="N15" s="9">
        <v>1</v>
      </c>
      <c r="O15" s="9"/>
      <c r="P15" s="9"/>
      <c r="Q15" s="9"/>
      <c r="R15" s="9">
        <f>IF(H10="Yes",1,0)</f>
        <v>1</v>
      </c>
      <c r="S15" s="9" t="s">
        <v>288</v>
      </c>
      <c r="T15" s="9"/>
    </row>
    <row r="16" spans="4:20">
      <c r="M16" s="9"/>
      <c r="N16" s="9"/>
      <c r="O16" s="9"/>
      <c r="P16" s="9"/>
      <c r="Q16" s="9"/>
      <c r="R16" s="9"/>
      <c r="S16" s="9"/>
      <c r="T16" s="9"/>
    </row>
    <row r="17" spans="4:20" ht="16" thickBot="1">
      <c r="D17" s="9"/>
      <c r="E17" s="9"/>
      <c r="F17" s="9"/>
      <c r="G17" s="9"/>
      <c r="H17" s="9"/>
      <c r="I17" s="9"/>
      <c r="M17" s="12" t="s">
        <v>289</v>
      </c>
      <c r="N17" s="9">
        <f>DPRODUCT($N$10:$R$15,"Answers",N7:N8)</f>
        <v>0</v>
      </c>
      <c r="O17" s="9">
        <f>DPRODUCT($N$10:$R$15,"Answers",O7:O8)</f>
        <v>0</v>
      </c>
      <c r="P17" s="9">
        <f>DPRODUCT($N$10:$R$15,"Answers",P7:P8)</f>
        <v>1</v>
      </c>
      <c r="Q17" s="9"/>
      <c r="R17" s="9"/>
      <c r="S17" s="9"/>
      <c r="T17" s="9"/>
    </row>
    <row r="18" spans="4:20" ht="16" thickBot="1">
      <c r="D18" s="9"/>
      <c r="E18" s="10" t="s">
        <v>290</v>
      </c>
      <c r="F18" s="11"/>
      <c r="G18" s="9"/>
      <c r="H18" s="9"/>
      <c r="I18" s="9"/>
      <c r="M18" s="9"/>
      <c r="N18" s="9"/>
      <c r="O18" s="9"/>
      <c r="P18" s="9"/>
      <c r="Q18" s="9"/>
      <c r="R18" s="9"/>
      <c r="S18" s="9"/>
      <c r="T18" s="9"/>
    </row>
    <row r="19" spans="4:20">
      <c r="D19" s="13" t="s">
        <v>291</v>
      </c>
      <c r="E19" s="9" t="str">
        <f>IF(N17=1,"6)  ","")</f>
        <v/>
      </c>
      <c r="F19" s="9"/>
      <c r="G19" s="9"/>
      <c r="H19" s="9"/>
      <c r="I19" s="9"/>
      <c r="M19" s="9"/>
      <c r="N19" s="9"/>
      <c r="O19" s="9"/>
      <c r="P19" s="9"/>
      <c r="Q19" s="9"/>
      <c r="R19" s="9"/>
      <c r="S19" s="9"/>
      <c r="T19" s="9"/>
    </row>
    <row r="20" spans="4:20">
      <c r="D20" s="13" t="s">
        <v>291</v>
      </c>
      <c r="E20" s="9" t="str">
        <f>IF(O17=1,"7)  ","")</f>
        <v/>
      </c>
      <c r="F20" s="9"/>
      <c r="G20" s="9"/>
      <c r="H20" s="9"/>
      <c r="I20" s="9"/>
      <c r="M20" s="9"/>
      <c r="N20" s="9"/>
      <c r="O20" s="9"/>
      <c r="P20" s="9"/>
      <c r="Q20" s="9"/>
      <c r="R20" s="9"/>
      <c r="S20" s="9"/>
      <c r="T20" s="9"/>
    </row>
    <row r="21" spans="4:20">
      <c r="D21" s="13" t="s">
        <v>291</v>
      </c>
      <c r="E21" s="9" t="str">
        <f>IF(P17=1,"8)  ","")</f>
        <v xml:space="preserve">8)  </v>
      </c>
      <c r="F21" s="9"/>
      <c r="G21" s="9"/>
      <c r="H21" s="9" t="s">
        <v>204</v>
      </c>
      <c r="I21" s="9"/>
      <c r="M21" s="9"/>
      <c r="N21" s="12" t="s">
        <v>292</v>
      </c>
      <c r="O21" s="9"/>
      <c r="P21" s="9"/>
      <c r="Q21" s="9"/>
      <c r="R21" s="9"/>
      <c r="S21" s="9"/>
      <c r="T21" s="9"/>
    </row>
    <row r="22" spans="4:20">
      <c r="D22" s="9"/>
      <c r="E22" s="9"/>
      <c r="F22" s="9"/>
      <c r="G22" s="9"/>
      <c r="H22" s="9"/>
      <c r="I22" s="9"/>
      <c r="M22" s="9"/>
      <c r="N22" s="12" t="s">
        <v>293</v>
      </c>
      <c r="O22" s="9"/>
      <c r="P22" s="9"/>
      <c r="Q22" s="9"/>
      <c r="R22" s="9"/>
      <c r="S22" s="9"/>
      <c r="T22" s="9"/>
    </row>
    <row r="23" spans="4:20">
      <c r="D23" s="12" t="s">
        <v>294</v>
      </c>
      <c r="E23" s="9"/>
      <c r="F23" s="9"/>
      <c r="G23" s="9"/>
      <c r="H23" s="9"/>
      <c r="I23" s="9"/>
    </row>
    <row r="24" spans="4:20" ht="16" thickBot="1">
      <c r="D24" s="9"/>
      <c r="E24" s="9"/>
      <c r="F24" s="9"/>
      <c r="G24" s="9"/>
      <c r="H24" s="9"/>
      <c r="I24" s="9"/>
      <c r="M24" s="9"/>
      <c r="N24" s="9"/>
      <c r="O24" s="9"/>
      <c r="P24" s="9"/>
      <c r="Q24" s="9"/>
      <c r="R24" s="9"/>
      <c r="S24" s="9"/>
      <c r="T24" s="9"/>
    </row>
    <row r="25" spans="4:20" ht="16" thickBot="1">
      <c r="M25" s="9"/>
      <c r="N25" s="9" t="s">
        <v>295</v>
      </c>
      <c r="O25" s="9" t="s">
        <v>296</v>
      </c>
      <c r="P25" s="9" t="s">
        <v>297</v>
      </c>
      <c r="Q25" s="9"/>
      <c r="R25" s="10" t="s">
        <v>298</v>
      </c>
      <c r="S25" s="11"/>
      <c r="T25" s="9"/>
    </row>
    <row r="26" spans="4:20">
      <c r="M26" s="9"/>
      <c r="N26" s="9">
        <v>1</v>
      </c>
      <c r="O26" s="9">
        <v>1</v>
      </c>
      <c r="P26" s="9">
        <v>1</v>
      </c>
      <c r="Q26" s="9"/>
      <c r="R26" s="9"/>
      <c r="S26" s="9"/>
      <c r="T26" s="9"/>
    </row>
    <row r="27" spans="4:20" ht="16" thickBot="1">
      <c r="D27" s="9"/>
      <c r="E27" s="9"/>
      <c r="F27" s="9"/>
      <c r="G27" s="9"/>
      <c r="H27" s="9"/>
      <c r="I27" s="9"/>
      <c r="M27" s="9"/>
      <c r="N27" s="9"/>
      <c r="O27" s="9"/>
      <c r="P27" s="9"/>
      <c r="Q27" s="9"/>
      <c r="R27" s="9"/>
      <c r="S27" s="9"/>
      <c r="T27" s="9"/>
    </row>
    <row r="28" spans="4:20" ht="16" thickBot="1">
      <c r="D28" s="9"/>
      <c r="E28" s="10" t="s">
        <v>299</v>
      </c>
      <c r="F28" s="11"/>
      <c r="G28" s="9"/>
      <c r="H28" s="9"/>
      <c r="I28" s="9"/>
      <c r="M28" s="9"/>
      <c r="N28" s="9" t="s">
        <v>295</v>
      </c>
      <c r="O28" s="9" t="s">
        <v>296</v>
      </c>
      <c r="P28" s="9" t="s">
        <v>297</v>
      </c>
      <c r="Q28" s="9"/>
      <c r="R28" s="9" t="s">
        <v>282</v>
      </c>
      <c r="S28" s="9"/>
      <c r="T28" s="9"/>
    </row>
    <row r="29" spans="4:20">
      <c r="D29" s="9"/>
      <c r="E29" s="9"/>
      <c r="F29" s="9"/>
      <c r="G29" s="9"/>
      <c r="H29" s="9"/>
      <c r="I29" s="9"/>
      <c r="M29" s="9"/>
      <c r="N29" s="9">
        <v>1</v>
      </c>
      <c r="O29" s="9"/>
      <c r="P29" s="9"/>
      <c r="Q29" s="9"/>
      <c r="R29" s="9">
        <f>N17</f>
        <v>0</v>
      </c>
      <c r="S29" s="13" t="s">
        <v>300</v>
      </c>
      <c r="T29" s="9"/>
    </row>
    <row r="30" spans="4:20">
      <c r="D30" s="13" t="s">
        <v>291</v>
      </c>
      <c r="E30" s="9" t="str">
        <f>IF(N36=1,"PBA","")</f>
        <v/>
      </c>
      <c r="F30" s="9"/>
      <c r="G30" s="9"/>
      <c r="H30" s="9"/>
      <c r="I30" s="9"/>
      <c r="M30" s="9"/>
      <c r="N30" s="9"/>
      <c r="O30" s="9">
        <v>1</v>
      </c>
      <c r="P30" s="9"/>
      <c r="Q30" s="9"/>
      <c r="R30" s="9">
        <f>O17</f>
        <v>0</v>
      </c>
      <c r="S30" s="13" t="s">
        <v>301</v>
      </c>
      <c r="T30" s="9"/>
    </row>
    <row r="31" spans="4:20">
      <c r="D31" s="13" t="s">
        <v>291</v>
      </c>
      <c r="E31" s="9" t="str">
        <f>IF(O36=1,"MBC","")</f>
        <v/>
      </c>
      <c r="F31" s="9"/>
      <c r="G31" s="9"/>
      <c r="H31" s="9"/>
      <c r="I31" s="9"/>
      <c r="M31" s="9"/>
      <c r="N31" s="9"/>
      <c r="O31" s="9"/>
      <c r="P31" s="9">
        <v>1</v>
      </c>
      <c r="Q31" s="9"/>
      <c r="R31" s="9">
        <f>P17</f>
        <v>1</v>
      </c>
      <c r="S31" s="13" t="s">
        <v>302</v>
      </c>
      <c r="T31" s="9"/>
    </row>
    <row r="32" spans="4:20">
      <c r="D32" s="13" t="s">
        <v>291</v>
      </c>
      <c r="E32" s="9" t="str">
        <f>IF(P36=1,"ORBM","")</f>
        <v>ORBM</v>
      </c>
      <c r="F32" s="9"/>
      <c r="G32" s="9"/>
      <c r="H32" s="9"/>
      <c r="I32" s="9"/>
      <c r="M32" s="9"/>
      <c r="N32" s="9">
        <v>1</v>
      </c>
      <c r="O32" s="9"/>
      <c r="P32" s="9"/>
      <c r="Q32" s="9"/>
      <c r="R32" s="9">
        <f>IF(H19="Yes",1,0)</f>
        <v>0</v>
      </c>
      <c r="S32" s="9" t="s">
        <v>303</v>
      </c>
      <c r="T32" s="9"/>
    </row>
    <row r="33" spans="4:20">
      <c r="D33" s="9"/>
      <c r="E33" s="9"/>
      <c r="F33" s="9"/>
      <c r="G33" s="9"/>
      <c r="H33" s="9"/>
      <c r="I33" s="9"/>
      <c r="M33" s="9"/>
      <c r="N33" s="9"/>
      <c r="O33" s="9">
        <v>1</v>
      </c>
      <c r="P33" s="9"/>
      <c r="Q33" s="9"/>
      <c r="R33" s="9">
        <f>IF(H20="Yes",1,0)</f>
        <v>0</v>
      </c>
      <c r="S33" s="9" t="s">
        <v>304</v>
      </c>
      <c r="T33" s="9"/>
    </row>
    <row r="34" spans="4:20">
      <c r="D34" s="12" t="s">
        <v>305</v>
      </c>
      <c r="E34" s="9"/>
      <c r="F34" s="9"/>
      <c r="G34" s="9"/>
      <c r="H34" s="9"/>
      <c r="I34" s="9"/>
      <c r="M34" s="9"/>
      <c r="N34" s="9"/>
      <c r="O34" s="9"/>
      <c r="P34" s="9">
        <v>1</v>
      </c>
      <c r="Q34" s="9"/>
      <c r="R34" s="9">
        <f>IF(H21="Yes",1,0)</f>
        <v>1</v>
      </c>
      <c r="S34" s="9" t="s">
        <v>306</v>
      </c>
      <c r="T34" s="9"/>
    </row>
    <row r="35" spans="4:20">
      <c r="D35" s="9"/>
      <c r="E35" s="9"/>
      <c r="F35" s="9"/>
      <c r="G35" s="9"/>
      <c r="H35" s="9"/>
      <c r="I35" s="9"/>
      <c r="M35" s="9"/>
      <c r="N35" s="9"/>
      <c r="O35" s="9"/>
      <c r="P35" s="9"/>
      <c r="Q35" s="9"/>
      <c r="R35" s="9"/>
      <c r="S35" s="9"/>
      <c r="T35" s="9"/>
    </row>
    <row r="36" spans="4:20">
      <c r="M36" s="12" t="s">
        <v>307</v>
      </c>
      <c r="N36" s="9">
        <f>DPRODUCT($N$28:$R$34,"Answers",N25:N26)</f>
        <v>0</v>
      </c>
      <c r="O36" s="9">
        <f t="shared" ref="O36:P36" si="0">DPRODUCT($N$28:$R$34,"Answers",O25:O26)</f>
        <v>0</v>
      </c>
      <c r="P36" s="9">
        <f t="shared" si="0"/>
        <v>1</v>
      </c>
      <c r="Q36" s="9"/>
      <c r="R36" s="9"/>
      <c r="S36" s="9"/>
      <c r="T36" s="9"/>
    </row>
    <row r="37" spans="4:20">
      <c r="M37" s="9"/>
      <c r="N37" s="9"/>
      <c r="O37" s="9"/>
      <c r="P37" s="9"/>
      <c r="Q37" s="9"/>
      <c r="R37" s="9"/>
      <c r="S37" s="9"/>
      <c r="T37" s="9"/>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Terms of Use</vt:lpstr>
      <vt:lpstr>Instructions</vt:lpstr>
      <vt:lpstr>Pipeline Estimator Tool</vt:lpstr>
      <vt:lpstr>Hidden Pipeline Data</vt:lpstr>
      <vt:lpstr>Hidden Drop Down Lists</vt:lpstr>
      <vt:lpstr>Hidden Logic page</vt:lpstr>
      <vt:lpstr>Instructions!Print_Area</vt:lpstr>
      <vt:lpstr>'Pipeline Estimator Tool'!Print_Area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Rollmann</dc:creator>
  <cp:keywords/>
  <dc:description/>
  <cp:lastModifiedBy>Microsoft Office User</cp:lastModifiedBy>
  <cp:revision/>
  <dcterms:created xsi:type="dcterms:W3CDTF">2019-03-21T14:28:31Z</dcterms:created>
  <dcterms:modified xsi:type="dcterms:W3CDTF">2023-04-21T16:47:29Z</dcterms:modified>
  <cp:category/>
  <cp:contentStatus/>
</cp:coreProperties>
</file>