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showInkAnnotation="0" updateLinks="never" codeName="ThisWorkbook" autoCompressPictures="0" defaultThemeVersion="166925"/>
  <mc:AlternateContent xmlns:mc="http://schemas.openxmlformats.org/markup-compatibility/2006">
    <mc:Choice Requires="x15">
      <x15ac:absPath xmlns:x15ac="http://schemas.microsoft.com/office/spreadsheetml/2010/11/ac" url="/Users/ericnorman/Dropbox/Toolkit Development/Toolkit Version 3 2021/Final versions for posting/"/>
    </mc:Choice>
  </mc:AlternateContent>
  <xr:revisionPtr revIDLastSave="0" documentId="13_ncr:1_{EC58E323-96C2-9C4A-8B86-46413D6763EB}" xr6:coauthVersionLast="47" xr6:coauthVersionMax="47" xr10:uidLastSave="{00000000-0000-0000-0000-000000000000}"/>
  <workbookProtection workbookAlgorithmName="SHA-512" workbookHashValue="aCpfyxD4q8n94A/SCDOHJzDDM09aHiK9YLFr8PlmylsnwSAjDbqORPPgSoJAFhydk8To2Yk+jD9x1BHYAeZBVA==" workbookSaltValue="7MC12TkEbRNvbd9yXoLI3g==" workbookSpinCount="100000" lockStructure="1"/>
  <bookViews>
    <workbookView xWindow="4060" yWindow="0" windowWidth="33520" windowHeight="21600" activeTab="8" xr2:uid="{00000000-000D-0000-FFFF-FFFF00000000}"/>
  </bookViews>
  <sheets>
    <sheet name="Therapeutic Classes - Diseases" sheetId="32" state="hidden" r:id="rId1"/>
    <sheet name="Calculation" sheetId="31" state="hidden" r:id="rId2"/>
    <sheet name="Disease - Adoption Data" sheetId="37" state="hidden" r:id="rId3"/>
    <sheet name="Disease - complete" sheetId="30" state="hidden" r:id="rId4"/>
    <sheet name="Disease - Therapeutic Class" sheetId="29" state="hidden" r:id="rId5"/>
    <sheet name="Terms of Use" sheetId="36" r:id="rId6"/>
    <sheet name="Instructions" sheetId="35" r:id="rId7"/>
    <sheet name="Population Estimator Tool" sheetId="34" r:id="rId8"/>
    <sheet name="Market Adjustment Tool" sheetId="38" r:id="rId9"/>
    <sheet name="Therapy Impact Modeling Tool" sheetId="16" r:id="rId10"/>
    <sheet name="Sol'n Priorit Tool" sheetId="15" r:id="rId11"/>
    <sheet name="Hidden Drop Down Lists" sheetId="3" state="hidden" r:id="rId12"/>
    <sheet name="Hidden Logic page" sheetId="23" state="hidden" r:id="rId13"/>
    <sheet name="Hidden Sol'n Priorit. Table" sheetId="22" state="hidden" r:id="rId14"/>
    <sheet name="Calculations" sheetId="19" state="hidden" r:id="rId15"/>
  </sheets>
  <externalReferences>
    <externalReference r:id="rId16"/>
  </externalReferences>
  <definedNames>
    <definedName name="_xlnm._FilterDatabase" localSheetId="3" hidden="1">'Disease - complete'!$A$1:$N$1</definedName>
    <definedName name="_Hlk32827525" localSheetId="6">Instructions!#REF!</definedName>
    <definedName name="delta">Calculations!$Q$1</definedName>
    <definedName name="dult">'Disease - Adoption Data'!$B$84</definedName>
    <definedName name="_xlnm.Print_Area" localSheetId="6">Instructions!$A$1:$S$57</definedName>
    <definedName name="_xlnm.Print_Area" localSheetId="7">'Population Estimator Tool'!$A$1:$H$49</definedName>
    <definedName name="_xlnm.Print_Area" localSheetId="10">'Sol''n Priorit Tool'!$A$1:$K$146</definedName>
    <definedName name="_xlnm.Print_Area" localSheetId="5">'Terms of Use'!$A$1:$R$162</definedName>
    <definedName name="_xlnm.Print_Area" localSheetId="9">'Therapy Impact Modeling Tool'!$A$23:$I$47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7" i="38" l="1"/>
  <c r="B58" i="16"/>
  <c r="A41" i="16"/>
  <c r="C31" i="16"/>
  <c r="E16" i="38"/>
  <c r="F15" i="38" s="1"/>
  <c r="C14" i="38"/>
  <c r="B40" i="38" s="1"/>
  <c r="G15" i="38" l="1"/>
  <c r="E18" i="16"/>
  <c r="E17" i="16"/>
  <c r="C58" i="16"/>
  <c r="D58" i="16" s="1"/>
  <c r="E58" i="16" s="1"/>
  <c r="F58" i="16" s="1"/>
  <c r="G58" i="16" s="1"/>
  <c r="H58" i="16" s="1"/>
  <c r="I58" i="16" s="1"/>
  <c r="J58" i="16" s="1"/>
  <c r="K58" i="16" s="1"/>
  <c r="C77" i="38"/>
  <c r="D77" i="38" s="1"/>
  <c r="E77" i="38" s="1"/>
  <c r="F77" i="38" s="1"/>
  <c r="G77" i="38" s="1"/>
  <c r="H77" i="38" s="1"/>
  <c r="I77" i="38" s="1"/>
  <c r="J77" i="38" s="1"/>
  <c r="K77" i="38" s="1"/>
  <c r="B85" i="38"/>
  <c r="C7" i="19"/>
  <c r="D4" i="19"/>
  <c r="E4" i="19"/>
  <c r="F4" i="19"/>
  <c r="G4" i="19"/>
  <c r="H4" i="19"/>
  <c r="I4" i="19"/>
  <c r="J4" i="19"/>
  <c r="K4" i="19"/>
  <c r="L4" i="19"/>
  <c r="C4" i="19"/>
  <c r="B18" i="38"/>
  <c r="E14" i="38"/>
  <c r="E36" i="38" s="1"/>
  <c r="C40" i="38"/>
  <c r="B14" i="38"/>
  <c r="F40" i="38" l="1"/>
  <c r="C36" i="38"/>
  <c r="E40" i="38"/>
  <c r="D40" i="38"/>
  <c r="B91" i="38"/>
  <c r="B84" i="38"/>
  <c r="C84" i="38" s="1"/>
  <c r="D84" i="38" s="1"/>
  <c r="E84" i="38" s="1"/>
  <c r="F84" i="38" s="1"/>
  <c r="G84" i="38" s="1"/>
  <c r="H84" i="38" s="1"/>
  <c r="I84" i="38" s="1"/>
  <c r="J84" i="38" s="1"/>
  <c r="K84" i="38" s="1"/>
  <c r="D33" i="38" l="1"/>
  <c r="B20" i="16" l="1"/>
  <c r="C91" i="38"/>
  <c r="C20" i="16" l="1"/>
  <c r="D91" i="38"/>
  <c r="D20" i="16" s="1"/>
  <c r="E91" i="38" l="1"/>
  <c r="E20" i="16" s="1"/>
  <c r="D10" i="31"/>
  <c r="F91" i="38" l="1"/>
  <c r="F20" i="16" s="1"/>
  <c r="K6" i="31"/>
  <c r="A1" i="30"/>
  <c r="G451" i="30"/>
  <c r="B31" i="3"/>
  <c r="C36" i="3"/>
  <c r="C38" i="3"/>
  <c r="B47" i="16"/>
  <c r="H451" i="30"/>
  <c r="C31" i="3"/>
  <c r="D17" i="3"/>
  <c r="E17" i="3" s="1"/>
  <c r="C36" i="16" s="1"/>
  <c r="B80" i="15"/>
  <c r="G80" i="15" s="1"/>
  <c r="B79" i="15"/>
  <c r="B78" i="15"/>
  <c r="G78" i="15" s="1"/>
  <c r="B77" i="15"/>
  <c r="B76" i="15"/>
  <c r="D76" i="15" s="1"/>
  <c r="B75" i="15"/>
  <c r="G75" i="15" s="1"/>
  <c r="B74" i="15"/>
  <c r="G74" i="15" s="1"/>
  <c r="B73" i="15"/>
  <c r="G73" i="15" s="1"/>
  <c r="B72" i="15"/>
  <c r="G72" i="15" s="1"/>
  <c r="B71" i="15"/>
  <c r="D71" i="15" s="1"/>
  <c r="B70" i="15"/>
  <c r="G70" i="15" s="1"/>
  <c r="B69" i="15"/>
  <c r="D69" i="15" s="1"/>
  <c r="B68" i="15"/>
  <c r="G68" i="15" s="1"/>
  <c r="G40" i="34"/>
  <c r="F40" i="34"/>
  <c r="G35" i="34"/>
  <c r="F35" i="34"/>
  <c r="A46" i="34"/>
  <c r="C41" i="34"/>
  <c r="B38" i="3"/>
  <c r="E8" i="29"/>
  <c r="F8" i="29"/>
  <c r="C13" i="15"/>
  <c r="F13" i="15"/>
  <c r="B13" i="15"/>
  <c r="K4" i="31"/>
  <c r="A328" i="30"/>
  <c r="A329" i="30"/>
  <c r="A330" i="30"/>
  <c r="A331" i="30"/>
  <c r="A333" i="30"/>
  <c r="A334" i="30"/>
  <c r="A335" i="30"/>
  <c r="A336" i="30"/>
  <c r="A337" i="30"/>
  <c r="A338" i="30"/>
  <c r="A339" i="30"/>
  <c r="A340" i="30"/>
  <c r="A342" i="30"/>
  <c r="A343" i="30"/>
  <c r="A344" i="30"/>
  <c r="A345" i="30"/>
  <c r="A346" i="30"/>
  <c r="A347" i="30"/>
  <c r="A348" i="30"/>
  <c r="A349" i="30"/>
  <c r="A350" i="30"/>
  <c r="A351" i="30"/>
  <c r="A352" i="30"/>
  <c r="A353" i="30"/>
  <c r="A354" i="30"/>
  <c r="A355" i="30"/>
  <c r="A357" i="30"/>
  <c r="A358" i="30"/>
  <c r="A359" i="30"/>
  <c r="A361" i="30"/>
  <c r="A362" i="30"/>
  <c r="A364" i="30"/>
  <c r="A365" i="30"/>
  <c r="A366" i="30"/>
  <c r="A368" i="30"/>
  <c r="A369" i="30"/>
  <c r="A370" i="30"/>
  <c r="A371" i="30"/>
  <c r="A373" i="30"/>
  <c r="A375" i="30"/>
  <c r="A377" i="30"/>
  <c r="A378" i="30"/>
  <c r="A379" i="30"/>
  <c r="A380" i="30"/>
  <c r="A381" i="30"/>
  <c r="A382" i="30"/>
  <c r="A385" i="30"/>
  <c r="A386" i="30"/>
  <c r="A387" i="30"/>
  <c r="A388" i="30"/>
  <c r="A389" i="30"/>
  <c r="A390" i="30"/>
  <c r="A391" i="30"/>
  <c r="A392" i="30"/>
  <c r="A393" i="30"/>
  <c r="A394" i="30"/>
  <c r="A395" i="30"/>
  <c r="A396" i="30"/>
  <c r="A397" i="30"/>
  <c r="A398" i="30"/>
  <c r="A399" i="30"/>
  <c r="A400" i="30"/>
  <c r="A401" i="30"/>
  <c r="A402" i="30"/>
  <c r="A403" i="30"/>
  <c r="A404" i="30"/>
  <c r="A405" i="30"/>
  <c r="A406" i="30"/>
  <c r="A407" i="30"/>
  <c r="A408" i="30"/>
  <c r="A409" i="30"/>
  <c r="A410" i="30"/>
  <c r="A411" i="30"/>
  <c r="A412" i="30"/>
  <c r="A413" i="30"/>
  <c r="A414" i="30"/>
  <c r="A415" i="30"/>
  <c r="A416" i="30"/>
  <c r="A417" i="30"/>
  <c r="A418" i="30"/>
  <c r="A419" i="30"/>
  <c r="A420" i="30"/>
  <c r="A421" i="30"/>
  <c r="A423" i="30"/>
  <c r="A424" i="30"/>
  <c r="A425" i="30"/>
  <c r="A426" i="30"/>
  <c r="A427" i="30"/>
  <c r="A428" i="30"/>
  <c r="A429" i="30"/>
  <c r="A432" i="30"/>
  <c r="A433" i="30"/>
  <c r="A445" i="30"/>
  <c r="A446" i="30"/>
  <c r="A452" i="30"/>
  <c r="A453" i="30"/>
  <c r="A455" i="30"/>
  <c r="A456" i="30"/>
  <c r="A457" i="30"/>
  <c r="A458" i="30"/>
  <c r="A459" i="30"/>
  <c r="A460" i="30"/>
  <c r="A474" i="30"/>
  <c r="A476" i="30"/>
  <c r="A477" i="30"/>
  <c r="A478" i="30"/>
  <c r="A483" i="30"/>
  <c r="A484" i="30"/>
  <c r="A492" i="30"/>
  <c r="A493" i="30"/>
  <c r="A494" i="30"/>
  <c r="A496" i="30"/>
  <c r="A497" i="30"/>
  <c r="A503" i="30"/>
  <c r="A504" i="30"/>
  <c r="A505" i="30"/>
  <c r="A506" i="30"/>
  <c r="A508" i="30"/>
  <c r="A509" i="30"/>
  <c r="A522" i="30"/>
  <c r="A526" i="30"/>
  <c r="A527" i="30"/>
  <c r="A528" i="30"/>
  <c r="A529" i="30"/>
  <c r="A530" i="30"/>
  <c r="A531" i="30"/>
  <c r="A532" i="30"/>
  <c r="A533" i="30"/>
  <c r="A534" i="30"/>
  <c r="A535" i="30"/>
  <c r="A536" i="30"/>
  <c r="A537" i="30"/>
  <c r="A538" i="30"/>
  <c r="A539" i="30"/>
  <c r="A549" i="30"/>
  <c r="A550" i="30"/>
  <c r="A551" i="30"/>
  <c r="A552" i="30"/>
  <c r="A553" i="30"/>
  <c r="A556" i="30"/>
  <c r="A558" i="30"/>
  <c r="A564" i="30"/>
  <c r="A565" i="30"/>
  <c r="A566" i="30"/>
  <c r="A567" i="30"/>
  <c r="A568" i="30"/>
  <c r="A569" i="30"/>
  <c r="A570" i="30"/>
  <c r="A580" i="30"/>
  <c r="A581" i="30"/>
  <c r="A583" i="30"/>
  <c r="E86" i="29"/>
  <c r="F86" i="29"/>
  <c r="E120" i="29"/>
  <c r="F120" i="29"/>
  <c r="E87" i="29"/>
  <c r="F87" i="29"/>
  <c r="E159" i="29"/>
  <c r="F159" i="29"/>
  <c r="E121" i="29"/>
  <c r="F121" i="29"/>
  <c r="E122" i="29"/>
  <c r="F122" i="29"/>
  <c r="E123" i="29"/>
  <c r="F123" i="29"/>
  <c r="E68" i="29"/>
  <c r="F68" i="29"/>
  <c r="E124" i="29"/>
  <c r="F124" i="29"/>
  <c r="E60" i="29"/>
  <c r="F60" i="29"/>
  <c r="E88" i="29"/>
  <c r="F88" i="29"/>
  <c r="E113" i="29"/>
  <c r="F113" i="29"/>
  <c r="E76" i="29"/>
  <c r="F76" i="29"/>
  <c r="E114" i="29"/>
  <c r="F114" i="29"/>
  <c r="E125" i="29"/>
  <c r="F125" i="29"/>
  <c r="E126" i="29"/>
  <c r="F126" i="29"/>
  <c r="E127" i="29"/>
  <c r="F127" i="29"/>
  <c r="E160" i="29"/>
  <c r="F160" i="29"/>
  <c r="E128" i="29"/>
  <c r="F128" i="29"/>
  <c r="E146" i="29"/>
  <c r="F146" i="29"/>
  <c r="E129" i="29"/>
  <c r="F129" i="29"/>
  <c r="E20" i="29"/>
  <c r="F20" i="29"/>
  <c r="E21" i="29"/>
  <c r="F21" i="29"/>
  <c r="E22" i="29"/>
  <c r="F22" i="29"/>
  <c r="E2" i="29"/>
  <c r="F2" i="29"/>
  <c r="E23" i="29"/>
  <c r="F23" i="29"/>
  <c r="E24" i="29"/>
  <c r="F24" i="29"/>
  <c r="E25" i="29"/>
  <c r="F25" i="29"/>
  <c r="E26" i="29"/>
  <c r="F26" i="29"/>
  <c r="E27" i="29"/>
  <c r="F27" i="29"/>
  <c r="E28" i="29"/>
  <c r="F28" i="29"/>
  <c r="E29" i="29"/>
  <c r="F29" i="29"/>
  <c r="E30" i="29"/>
  <c r="F30" i="29"/>
  <c r="E31" i="29"/>
  <c r="F31" i="29"/>
  <c r="E32" i="29"/>
  <c r="F32" i="29"/>
  <c r="E33" i="29"/>
  <c r="F33" i="29"/>
  <c r="E3" i="29"/>
  <c r="F3" i="29"/>
  <c r="E4" i="29"/>
  <c r="F4" i="29"/>
  <c r="E5" i="29"/>
  <c r="F5" i="29"/>
  <c r="E6" i="29"/>
  <c r="F6" i="29"/>
  <c r="E7" i="29"/>
  <c r="F7" i="29"/>
  <c r="E34" i="29"/>
  <c r="F34" i="29"/>
  <c r="E35" i="29"/>
  <c r="F35" i="29"/>
  <c r="E36" i="29"/>
  <c r="F36" i="29"/>
  <c r="E9" i="29"/>
  <c r="F9" i="29"/>
  <c r="E10" i="29"/>
  <c r="F10" i="29"/>
  <c r="E11" i="29"/>
  <c r="F11" i="29"/>
  <c r="E12" i="29"/>
  <c r="F12" i="29"/>
  <c r="E13" i="29"/>
  <c r="F13" i="29"/>
  <c r="E14" i="29"/>
  <c r="F14" i="29"/>
  <c r="E15" i="29"/>
  <c r="F15" i="29"/>
  <c r="E16" i="29"/>
  <c r="F16" i="29"/>
  <c r="E17" i="29"/>
  <c r="F17" i="29"/>
  <c r="E37" i="29"/>
  <c r="F37" i="29"/>
  <c r="E38" i="29"/>
  <c r="F38" i="29"/>
  <c r="E39" i="29"/>
  <c r="F39" i="29"/>
  <c r="E18" i="29"/>
  <c r="F18" i="29"/>
  <c r="E40" i="29"/>
  <c r="F40" i="29"/>
  <c r="E41" i="29"/>
  <c r="F41" i="29"/>
  <c r="E42" i="29"/>
  <c r="F42" i="29"/>
  <c r="E43" i="29"/>
  <c r="F43" i="29"/>
  <c r="E44" i="29"/>
  <c r="F44" i="29"/>
  <c r="E45" i="29"/>
  <c r="F45" i="29"/>
  <c r="E46" i="29"/>
  <c r="F46" i="29"/>
  <c r="E47" i="29"/>
  <c r="F47" i="29"/>
  <c r="E48" i="29"/>
  <c r="F48" i="29"/>
  <c r="E49" i="29"/>
  <c r="F49" i="29"/>
  <c r="E50" i="29"/>
  <c r="F50" i="29"/>
  <c r="E51" i="29"/>
  <c r="F51" i="29"/>
  <c r="E52" i="29"/>
  <c r="F52" i="29"/>
  <c r="E53" i="29"/>
  <c r="F53" i="29"/>
  <c r="E54" i="29"/>
  <c r="F54" i="29"/>
  <c r="E55" i="29"/>
  <c r="F55" i="29"/>
  <c r="E56" i="29"/>
  <c r="F56" i="29"/>
  <c r="E57" i="29"/>
  <c r="F57" i="29"/>
  <c r="E58" i="29"/>
  <c r="F58" i="29"/>
  <c r="E61" i="29"/>
  <c r="F61" i="29"/>
  <c r="E130" i="29"/>
  <c r="F130" i="29"/>
  <c r="E131" i="29"/>
  <c r="F131" i="29"/>
  <c r="E147" i="29"/>
  <c r="F147" i="29"/>
  <c r="E77" i="29"/>
  <c r="F77" i="29"/>
  <c r="E89" i="29"/>
  <c r="F89" i="29"/>
  <c r="E90" i="29"/>
  <c r="F90" i="29"/>
  <c r="E91" i="29"/>
  <c r="F91" i="29"/>
  <c r="E92" i="29"/>
  <c r="F92" i="29"/>
  <c r="E132" i="29"/>
  <c r="F132" i="29"/>
  <c r="E133" i="29"/>
  <c r="F133" i="29"/>
  <c r="E93" i="29"/>
  <c r="F93" i="29"/>
  <c r="E94" i="29"/>
  <c r="F94" i="29"/>
  <c r="E115" i="29"/>
  <c r="F115" i="29"/>
  <c r="E116" i="29"/>
  <c r="F116" i="29"/>
  <c r="E117" i="29"/>
  <c r="F117" i="29"/>
  <c r="E161" i="29"/>
  <c r="F161" i="29"/>
  <c r="E162" i="29"/>
  <c r="F162" i="29"/>
  <c r="E134" i="29"/>
  <c r="F134" i="29"/>
  <c r="E95" i="29"/>
  <c r="F95" i="29"/>
  <c r="E163" i="29"/>
  <c r="F163" i="29"/>
  <c r="E96" i="29"/>
  <c r="F96" i="29"/>
  <c r="E97" i="29"/>
  <c r="F97" i="29"/>
  <c r="E98" i="29"/>
  <c r="F98" i="29"/>
  <c r="E99" i="29"/>
  <c r="F99" i="29"/>
  <c r="E69" i="29"/>
  <c r="F69" i="29"/>
  <c r="E70" i="29"/>
  <c r="F70" i="29"/>
  <c r="E71" i="29"/>
  <c r="F71" i="29"/>
  <c r="E164" i="29"/>
  <c r="F164" i="29"/>
  <c r="E62" i="29"/>
  <c r="F62" i="29"/>
  <c r="E100" i="29"/>
  <c r="F100" i="29"/>
  <c r="E101" i="29"/>
  <c r="F101" i="29"/>
  <c r="E63" i="29"/>
  <c r="F63" i="29"/>
  <c r="E102" i="29"/>
  <c r="F102" i="29"/>
  <c r="E78" i="29"/>
  <c r="F78" i="29"/>
  <c r="E64" i="29"/>
  <c r="F64" i="29"/>
  <c r="E165" i="29"/>
  <c r="F165" i="29"/>
  <c r="E79" i="29"/>
  <c r="F79" i="29"/>
  <c r="E65" i="29"/>
  <c r="F65" i="29"/>
  <c r="E66" i="29"/>
  <c r="F66" i="29"/>
  <c r="E148" i="29"/>
  <c r="F148" i="29"/>
  <c r="E149" i="29"/>
  <c r="F149" i="29"/>
  <c r="E80" i="29"/>
  <c r="F80" i="29"/>
  <c r="E135" i="29"/>
  <c r="F135" i="29"/>
  <c r="E136" i="29"/>
  <c r="F136" i="29"/>
  <c r="E81" i="29"/>
  <c r="F81" i="29"/>
  <c r="E150" i="29"/>
  <c r="F150" i="29"/>
  <c r="E151" i="29"/>
  <c r="F151" i="29"/>
  <c r="E152" i="29"/>
  <c r="F152" i="29"/>
  <c r="E153" i="29"/>
  <c r="F153" i="29"/>
  <c r="E154" i="29"/>
  <c r="F154" i="29"/>
  <c r="E59" i="29"/>
  <c r="F59" i="29"/>
  <c r="E103" i="29"/>
  <c r="F103" i="29"/>
  <c r="E166" i="29"/>
  <c r="F166" i="29"/>
  <c r="E104" i="29"/>
  <c r="F104" i="29"/>
  <c r="E105" i="29"/>
  <c r="F105" i="29"/>
  <c r="E106" i="29"/>
  <c r="F106" i="29"/>
  <c r="E107" i="29"/>
  <c r="F107" i="29"/>
  <c r="E108" i="29"/>
  <c r="F108" i="29"/>
  <c r="E137" i="29"/>
  <c r="F137" i="29"/>
  <c r="E138" i="29"/>
  <c r="F138" i="29"/>
  <c r="E139" i="29"/>
  <c r="F139" i="29"/>
  <c r="E19" i="29"/>
  <c r="F19" i="29"/>
  <c r="E118" i="29"/>
  <c r="F118" i="29"/>
  <c r="E167" i="29"/>
  <c r="F167" i="29"/>
  <c r="E168" i="29"/>
  <c r="F168" i="29"/>
  <c r="E140" i="29"/>
  <c r="F140" i="29"/>
  <c r="E109" i="29"/>
  <c r="F109" i="29"/>
  <c r="E110" i="29"/>
  <c r="F110" i="29"/>
  <c r="E119" i="29"/>
  <c r="F119" i="29"/>
  <c r="E169" i="29"/>
  <c r="F169" i="29"/>
  <c r="E141" i="29"/>
  <c r="F141" i="29"/>
  <c r="E72" i="29"/>
  <c r="F72" i="29"/>
  <c r="E170" i="29"/>
  <c r="F170" i="29"/>
  <c r="E67" i="29"/>
  <c r="F67" i="29"/>
  <c r="E73" i="29"/>
  <c r="F73" i="29"/>
  <c r="E111" i="29"/>
  <c r="F111" i="29"/>
  <c r="E142" i="29"/>
  <c r="F142" i="29"/>
  <c r="E112" i="29"/>
  <c r="F112" i="29"/>
  <c r="E155" i="29"/>
  <c r="F155" i="29"/>
  <c r="E156" i="29"/>
  <c r="F156" i="29"/>
  <c r="E157" i="29"/>
  <c r="F157" i="29"/>
  <c r="E158" i="29"/>
  <c r="F158" i="29"/>
  <c r="E143" i="29"/>
  <c r="F143" i="29"/>
  <c r="E82" i="29"/>
  <c r="F82" i="29"/>
  <c r="E83" i="29"/>
  <c r="F83" i="29"/>
  <c r="E84" i="29"/>
  <c r="F84" i="29"/>
  <c r="E85" i="29"/>
  <c r="F85" i="29"/>
  <c r="E74" i="29"/>
  <c r="F74" i="29"/>
  <c r="E75" i="29"/>
  <c r="F75" i="29"/>
  <c r="E171" i="29"/>
  <c r="F171" i="29"/>
  <c r="E144" i="29"/>
  <c r="F144" i="29"/>
  <c r="E172" i="29"/>
  <c r="F172" i="29"/>
  <c r="E173" i="29"/>
  <c r="F173" i="29"/>
  <c r="E174" i="29"/>
  <c r="F174" i="29"/>
  <c r="E175" i="29"/>
  <c r="F175" i="29"/>
  <c r="E176" i="29"/>
  <c r="F176" i="29"/>
  <c r="E177" i="29"/>
  <c r="F177" i="29"/>
  <c r="F145" i="29"/>
  <c r="E145" i="29"/>
  <c r="G3" i="30"/>
  <c r="H3" i="30"/>
  <c r="G4" i="30"/>
  <c r="H4" i="30"/>
  <c r="G5" i="30"/>
  <c r="H5" i="30"/>
  <c r="G6" i="30"/>
  <c r="H6" i="30"/>
  <c r="G7" i="30"/>
  <c r="H7" i="30"/>
  <c r="G8" i="30"/>
  <c r="H8" i="30"/>
  <c r="G9" i="30"/>
  <c r="H9" i="30"/>
  <c r="G10" i="30"/>
  <c r="H10" i="30"/>
  <c r="G11" i="30"/>
  <c r="H11" i="30"/>
  <c r="G12" i="30"/>
  <c r="H12" i="30"/>
  <c r="G13" i="30"/>
  <c r="H13" i="30"/>
  <c r="G14" i="30"/>
  <c r="H14" i="30"/>
  <c r="G15" i="30"/>
  <c r="H15" i="30"/>
  <c r="G16" i="30"/>
  <c r="H16" i="30"/>
  <c r="G17" i="30"/>
  <c r="H17" i="30"/>
  <c r="G18" i="30"/>
  <c r="H18" i="30"/>
  <c r="G19" i="30"/>
  <c r="H19" i="30"/>
  <c r="G20" i="30"/>
  <c r="H20" i="30"/>
  <c r="G21" i="30"/>
  <c r="H21" i="30"/>
  <c r="G22" i="30"/>
  <c r="H22" i="30"/>
  <c r="G23" i="30"/>
  <c r="H23" i="30"/>
  <c r="G24" i="30"/>
  <c r="H24" i="30"/>
  <c r="G25" i="30"/>
  <c r="H25" i="30"/>
  <c r="G26" i="30"/>
  <c r="H26" i="30"/>
  <c r="G27" i="30"/>
  <c r="H27" i="30"/>
  <c r="G28" i="30"/>
  <c r="H28" i="30"/>
  <c r="G29" i="30"/>
  <c r="H29" i="30"/>
  <c r="G30" i="30"/>
  <c r="H30" i="30"/>
  <c r="G31" i="30"/>
  <c r="H31" i="30"/>
  <c r="G32" i="30"/>
  <c r="H32" i="30"/>
  <c r="G33" i="30"/>
  <c r="H33" i="30"/>
  <c r="G34" i="30"/>
  <c r="H34" i="30"/>
  <c r="G35" i="30"/>
  <c r="H35" i="30"/>
  <c r="G36" i="30"/>
  <c r="H36" i="30"/>
  <c r="G37" i="30"/>
  <c r="H37" i="30"/>
  <c r="G38" i="30"/>
  <c r="H38" i="30"/>
  <c r="G39" i="30"/>
  <c r="H39" i="30"/>
  <c r="G40" i="30"/>
  <c r="H40" i="30"/>
  <c r="G41" i="30"/>
  <c r="H41" i="30"/>
  <c r="G42" i="30"/>
  <c r="H42" i="30"/>
  <c r="G43" i="30"/>
  <c r="H43" i="30"/>
  <c r="G44" i="30"/>
  <c r="H44" i="30"/>
  <c r="G45" i="30"/>
  <c r="H45" i="30"/>
  <c r="G46" i="30"/>
  <c r="H46" i="30"/>
  <c r="G47" i="30"/>
  <c r="H47" i="30"/>
  <c r="G48" i="30"/>
  <c r="H48" i="30"/>
  <c r="G49" i="30"/>
  <c r="H49" i="30"/>
  <c r="G50" i="30"/>
  <c r="H50" i="30"/>
  <c r="G51" i="30"/>
  <c r="H51" i="30"/>
  <c r="G52" i="30"/>
  <c r="H52" i="30"/>
  <c r="G53" i="30"/>
  <c r="H53" i="30"/>
  <c r="G54" i="30"/>
  <c r="H54" i="30"/>
  <c r="G55" i="30"/>
  <c r="H55" i="30"/>
  <c r="G56" i="30"/>
  <c r="H56" i="30"/>
  <c r="G57" i="30"/>
  <c r="H57" i="30"/>
  <c r="G58" i="30"/>
  <c r="H58" i="30"/>
  <c r="G59" i="30"/>
  <c r="H59" i="30"/>
  <c r="G60" i="30"/>
  <c r="H60" i="30"/>
  <c r="G61" i="30"/>
  <c r="H61" i="30"/>
  <c r="G62" i="30"/>
  <c r="H62" i="30"/>
  <c r="G63" i="30"/>
  <c r="H63" i="30"/>
  <c r="G64" i="30"/>
  <c r="H64" i="30"/>
  <c r="G65" i="30"/>
  <c r="H65" i="30"/>
  <c r="G66" i="30"/>
  <c r="H66" i="30"/>
  <c r="G67" i="30"/>
  <c r="H67" i="30"/>
  <c r="G68" i="30"/>
  <c r="H68" i="30"/>
  <c r="G69" i="30"/>
  <c r="H69" i="30"/>
  <c r="G70" i="30"/>
  <c r="H70" i="30"/>
  <c r="G71" i="30"/>
  <c r="H71" i="30"/>
  <c r="G72" i="30"/>
  <c r="H72" i="30"/>
  <c r="G73" i="30"/>
  <c r="H73" i="30"/>
  <c r="G74" i="30"/>
  <c r="H74" i="30"/>
  <c r="G75" i="30"/>
  <c r="H75" i="30"/>
  <c r="G76" i="30"/>
  <c r="H76" i="30"/>
  <c r="G77" i="30"/>
  <c r="H77" i="30"/>
  <c r="G78" i="30"/>
  <c r="H78" i="30"/>
  <c r="G79" i="30"/>
  <c r="H79" i="30"/>
  <c r="G80" i="30"/>
  <c r="H80" i="30"/>
  <c r="G81" i="30"/>
  <c r="H81" i="30"/>
  <c r="G82" i="30"/>
  <c r="H82" i="30"/>
  <c r="G83" i="30"/>
  <c r="H83" i="30"/>
  <c r="G84" i="30"/>
  <c r="H84" i="30"/>
  <c r="G85" i="30"/>
  <c r="H85" i="30"/>
  <c r="G86" i="30"/>
  <c r="H86" i="30"/>
  <c r="G87" i="30"/>
  <c r="H87" i="30"/>
  <c r="G88" i="30"/>
  <c r="H88" i="30"/>
  <c r="G89" i="30"/>
  <c r="H89" i="30"/>
  <c r="G90" i="30"/>
  <c r="H90" i="30"/>
  <c r="G91" i="30"/>
  <c r="H91" i="30"/>
  <c r="G92" i="30"/>
  <c r="H92" i="30"/>
  <c r="G93" i="30"/>
  <c r="H93" i="30"/>
  <c r="G94" i="30"/>
  <c r="H94" i="30"/>
  <c r="G95" i="30"/>
  <c r="H95" i="30"/>
  <c r="G96" i="30"/>
  <c r="H96" i="30"/>
  <c r="G97" i="30"/>
  <c r="H97" i="30"/>
  <c r="G98" i="30"/>
  <c r="H98" i="30"/>
  <c r="G99" i="30"/>
  <c r="H99" i="30"/>
  <c r="G100" i="30"/>
  <c r="H100" i="30"/>
  <c r="G101" i="30"/>
  <c r="H101" i="30"/>
  <c r="G102" i="30"/>
  <c r="H102" i="30"/>
  <c r="G103" i="30"/>
  <c r="H103" i="30"/>
  <c r="G104" i="30"/>
  <c r="H104" i="30"/>
  <c r="G105" i="30"/>
  <c r="H105" i="30"/>
  <c r="G106" i="30"/>
  <c r="H106" i="30"/>
  <c r="G107" i="30"/>
  <c r="H107" i="30"/>
  <c r="G108" i="30"/>
  <c r="H108" i="30"/>
  <c r="G109" i="30"/>
  <c r="H109" i="30"/>
  <c r="G110" i="30"/>
  <c r="H110" i="30"/>
  <c r="G111" i="30"/>
  <c r="H111" i="30"/>
  <c r="G112" i="30"/>
  <c r="H112" i="30"/>
  <c r="G113" i="30"/>
  <c r="H113" i="30"/>
  <c r="G114" i="30"/>
  <c r="H114" i="30"/>
  <c r="G115" i="30"/>
  <c r="H115" i="30"/>
  <c r="G116" i="30"/>
  <c r="H116" i="30"/>
  <c r="G117" i="30"/>
  <c r="H117" i="30"/>
  <c r="G118" i="30"/>
  <c r="H118" i="30"/>
  <c r="G119" i="30"/>
  <c r="H119" i="30"/>
  <c r="G120" i="30"/>
  <c r="H120" i="30"/>
  <c r="G121" i="30"/>
  <c r="H121" i="30"/>
  <c r="G122" i="30"/>
  <c r="H122" i="30"/>
  <c r="G123" i="30"/>
  <c r="H123" i="30"/>
  <c r="G124" i="30"/>
  <c r="H124" i="30"/>
  <c r="G125" i="30"/>
  <c r="H125" i="30"/>
  <c r="G126" i="30"/>
  <c r="H126" i="30"/>
  <c r="G127" i="30"/>
  <c r="H127" i="30"/>
  <c r="G128" i="30"/>
  <c r="H128" i="30"/>
  <c r="G129" i="30"/>
  <c r="H129" i="30"/>
  <c r="G130" i="30"/>
  <c r="H130" i="30"/>
  <c r="G131" i="30"/>
  <c r="H131" i="30"/>
  <c r="G132" i="30"/>
  <c r="H132" i="30"/>
  <c r="G133" i="30"/>
  <c r="H133" i="30"/>
  <c r="G134" i="30"/>
  <c r="H134" i="30"/>
  <c r="G135" i="30"/>
  <c r="H135" i="30"/>
  <c r="G136" i="30"/>
  <c r="H136" i="30"/>
  <c r="G137" i="30"/>
  <c r="H137" i="30"/>
  <c r="G138" i="30"/>
  <c r="H138" i="30"/>
  <c r="G139" i="30"/>
  <c r="H139" i="30"/>
  <c r="G140" i="30"/>
  <c r="H140" i="30"/>
  <c r="G141" i="30"/>
  <c r="H141" i="30"/>
  <c r="G142" i="30"/>
  <c r="H142" i="30"/>
  <c r="G143" i="30"/>
  <c r="H143" i="30"/>
  <c r="G144" i="30"/>
  <c r="H144" i="30"/>
  <c r="G145" i="30"/>
  <c r="H145" i="30"/>
  <c r="G146" i="30"/>
  <c r="H146" i="30"/>
  <c r="G147" i="30"/>
  <c r="H147" i="30"/>
  <c r="G148" i="30"/>
  <c r="H148" i="30"/>
  <c r="G149" i="30"/>
  <c r="H149" i="30"/>
  <c r="G150" i="30"/>
  <c r="H150" i="30"/>
  <c r="G151" i="30"/>
  <c r="H151" i="30"/>
  <c r="G152" i="30"/>
  <c r="H152" i="30"/>
  <c r="G153" i="30"/>
  <c r="H153" i="30"/>
  <c r="G154" i="30"/>
  <c r="H154" i="30"/>
  <c r="G155" i="30"/>
  <c r="H155" i="30"/>
  <c r="G156" i="30"/>
  <c r="H156" i="30"/>
  <c r="G157" i="30"/>
  <c r="H157" i="30"/>
  <c r="G158" i="30"/>
  <c r="H158" i="30"/>
  <c r="G159" i="30"/>
  <c r="H159" i="30"/>
  <c r="G160" i="30"/>
  <c r="H160" i="30"/>
  <c r="G161" i="30"/>
  <c r="H161" i="30"/>
  <c r="G162" i="30"/>
  <c r="H162" i="30"/>
  <c r="G163" i="30"/>
  <c r="H163" i="30"/>
  <c r="G164" i="30"/>
  <c r="H164" i="30"/>
  <c r="G165" i="30"/>
  <c r="H165" i="30"/>
  <c r="G166" i="30"/>
  <c r="H166" i="30"/>
  <c r="G167" i="30"/>
  <c r="H167" i="30"/>
  <c r="G168" i="30"/>
  <c r="H168" i="30"/>
  <c r="G169" i="30"/>
  <c r="H169" i="30"/>
  <c r="G170" i="30"/>
  <c r="H170" i="30"/>
  <c r="G171" i="30"/>
  <c r="H171" i="30"/>
  <c r="G172" i="30"/>
  <c r="H172" i="30"/>
  <c r="G173" i="30"/>
  <c r="H173" i="30"/>
  <c r="G174" i="30"/>
  <c r="H174" i="30"/>
  <c r="G175" i="30"/>
  <c r="H175" i="30"/>
  <c r="G176" i="30"/>
  <c r="H176" i="30"/>
  <c r="G177" i="30"/>
  <c r="H177" i="30"/>
  <c r="G178" i="30"/>
  <c r="H178" i="30"/>
  <c r="G179" i="30"/>
  <c r="H179" i="30"/>
  <c r="G180" i="30"/>
  <c r="H180" i="30"/>
  <c r="G181" i="30"/>
  <c r="H181" i="30"/>
  <c r="G182" i="30"/>
  <c r="H182" i="30"/>
  <c r="G183" i="30"/>
  <c r="H183" i="30"/>
  <c r="G184" i="30"/>
  <c r="H184" i="30"/>
  <c r="G185" i="30"/>
  <c r="H185" i="30"/>
  <c r="G186" i="30"/>
  <c r="H186" i="30"/>
  <c r="G187" i="30"/>
  <c r="H187" i="30"/>
  <c r="G188" i="30"/>
  <c r="H188" i="30"/>
  <c r="G189" i="30"/>
  <c r="H189" i="30"/>
  <c r="G190" i="30"/>
  <c r="H190" i="30"/>
  <c r="G191" i="30"/>
  <c r="H191" i="30"/>
  <c r="G192" i="30"/>
  <c r="H192" i="30"/>
  <c r="G193" i="30"/>
  <c r="H193" i="30"/>
  <c r="G194" i="30"/>
  <c r="H194" i="30"/>
  <c r="G195" i="30"/>
  <c r="H195" i="30"/>
  <c r="G196" i="30"/>
  <c r="H196" i="30"/>
  <c r="G197" i="30"/>
  <c r="H197" i="30"/>
  <c r="G198" i="30"/>
  <c r="H198" i="30"/>
  <c r="G199" i="30"/>
  <c r="H199" i="30"/>
  <c r="G200" i="30"/>
  <c r="H200" i="30"/>
  <c r="G201" i="30"/>
  <c r="H201" i="30"/>
  <c r="G202" i="30"/>
  <c r="H202" i="30"/>
  <c r="G203" i="30"/>
  <c r="H203" i="30"/>
  <c r="G204" i="30"/>
  <c r="H204" i="30"/>
  <c r="G205" i="30"/>
  <c r="H205" i="30"/>
  <c r="G206" i="30"/>
  <c r="H206" i="30"/>
  <c r="G207" i="30"/>
  <c r="H207" i="30"/>
  <c r="G208" i="30"/>
  <c r="H208" i="30"/>
  <c r="G209" i="30"/>
  <c r="H209" i="30"/>
  <c r="G210" i="30"/>
  <c r="H210" i="30"/>
  <c r="G211" i="30"/>
  <c r="H211" i="30"/>
  <c r="G212" i="30"/>
  <c r="H212" i="30"/>
  <c r="G213" i="30"/>
  <c r="H213" i="30"/>
  <c r="G214" i="30"/>
  <c r="H214" i="30"/>
  <c r="G215" i="30"/>
  <c r="H215" i="30"/>
  <c r="G216" i="30"/>
  <c r="H216" i="30"/>
  <c r="G217" i="30"/>
  <c r="H217" i="30"/>
  <c r="G218" i="30"/>
  <c r="H218" i="30"/>
  <c r="G219" i="30"/>
  <c r="H219" i="30"/>
  <c r="G220" i="30"/>
  <c r="H220" i="30"/>
  <c r="G221" i="30"/>
  <c r="H221" i="30"/>
  <c r="G222" i="30"/>
  <c r="H222" i="30"/>
  <c r="G223" i="30"/>
  <c r="H223" i="30"/>
  <c r="G224" i="30"/>
  <c r="H224" i="30"/>
  <c r="G225" i="30"/>
  <c r="H225" i="30"/>
  <c r="G226" i="30"/>
  <c r="H226" i="30"/>
  <c r="G227" i="30"/>
  <c r="H227" i="30"/>
  <c r="G228" i="30"/>
  <c r="H228" i="30"/>
  <c r="G229" i="30"/>
  <c r="H229" i="30"/>
  <c r="G230" i="30"/>
  <c r="H230" i="30"/>
  <c r="G231" i="30"/>
  <c r="H231" i="30"/>
  <c r="G232" i="30"/>
  <c r="H232" i="30"/>
  <c r="G233" i="30"/>
  <c r="H233" i="30"/>
  <c r="G234" i="30"/>
  <c r="H234" i="30"/>
  <c r="G235" i="30"/>
  <c r="H235" i="30"/>
  <c r="G236" i="30"/>
  <c r="H236" i="30"/>
  <c r="G237" i="30"/>
  <c r="H237" i="30"/>
  <c r="G238" i="30"/>
  <c r="H238" i="30"/>
  <c r="G239" i="30"/>
  <c r="H239" i="30"/>
  <c r="G240" i="30"/>
  <c r="H240" i="30"/>
  <c r="G241" i="30"/>
  <c r="H241" i="30"/>
  <c r="G242" i="30"/>
  <c r="H242" i="30"/>
  <c r="G243" i="30"/>
  <c r="H243" i="30"/>
  <c r="G244" i="30"/>
  <c r="H244" i="30"/>
  <c r="G245" i="30"/>
  <c r="H245" i="30"/>
  <c r="G246" i="30"/>
  <c r="H246" i="30"/>
  <c r="G247" i="30"/>
  <c r="H247" i="30"/>
  <c r="G248" i="30"/>
  <c r="H248" i="30"/>
  <c r="G249" i="30"/>
  <c r="H249" i="30"/>
  <c r="G250" i="30"/>
  <c r="H250" i="30"/>
  <c r="G251" i="30"/>
  <c r="H251" i="30"/>
  <c r="G252" i="30"/>
  <c r="H252" i="30"/>
  <c r="G253" i="30"/>
  <c r="H253" i="30"/>
  <c r="G254" i="30"/>
  <c r="H254" i="30"/>
  <c r="G255" i="30"/>
  <c r="H255" i="30"/>
  <c r="G256" i="30"/>
  <c r="H256" i="30"/>
  <c r="G257" i="30"/>
  <c r="H257" i="30"/>
  <c r="G258" i="30"/>
  <c r="H258" i="30"/>
  <c r="G259" i="30"/>
  <c r="H259" i="30"/>
  <c r="G260" i="30"/>
  <c r="H260" i="30"/>
  <c r="G261" i="30"/>
  <c r="H261" i="30"/>
  <c r="G262" i="30"/>
  <c r="H262" i="30"/>
  <c r="G263" i="30"/>
  <c r="H263" i="30"/>
  <c r="G264" i="30"/>
  <c r="H264" i="30"/>
  <c r="G265" i="30"/>
  <c r="H265" i="30"/>
  <c r="G266" i="30"/>
  <c r="H266" i="30"/>
  <c r="G267" i="30"/>
  <c r="H267" i="30"/>
  <c r="G268" i="30"/>
  <c r="H268" i="30"/>
  <c r="G269" i="30"/>
  <c r="H269" i="30"/>
  <c r="G270" i="30"/>
  <c r="H270" i="30"/>
  <c r="G271" i="30"/>
  <c r="H271" i="30"/>
  <c r="G272" i="30"/>
  <c r="H272" i="30"/>
  <c r="G273" i="30"/>
  <c r="H273" i="30"/>
  <c r="G274" i="30"/>
  <c r="H274" i="30"/>
  <c r="G275" i="30"/>
  <c r="H275" i="30"/>
  <c r="G276" i="30"/>
  <c r="H276" i="30"/>
  <c r="G277" i="30"/>
  <c r="H277" i="30"/>
  <c r="G278" i="30"/>
  <c r="H278" i="30"/>
  <c r="G279" i="30"/>
  <c r="H279" i="30"/>
  <c r="G280" i="30"/>
  <c r="H280" i="30"/>
  <c r="G281" i="30"/>
  <c r="H281" i="30"/>
  <c r="G282" i="30"/>
  <c r="H282" i="30"/>
  <c r="G283" i="30"/>
  <c r="H283" i="30"/>
  <c r="G284" i="30"/>
  <c r="H284" i="30"/>
  <c r="G285" i="30"/>
  <c r="H285" i="30"/>
  <c r="G286" i="30"/>
  <c r="H286" i="30"/>
  <c r="G287" i="30"/>
  <c r="H287" i="30"/>
  <c r="G288" i="30"/>
  <c r="H288" i="30"/>
  <c r="G289" i="30"/>
  <c r="H289" i="30"/>
  <c r="G290" i="30"/>
  <c r="H290" i="30"/>
  <c r="G291" i="30"/>
  <c r="H291" i="30"/>
  <c r="G292" i="30"/>
  <c r="H292" i="30"/>
  <c r="G293" i="30"/>
  <c r="H293" i="30"/>
  <c r="G294" i="30"/>
  <c r="H294" i="30"/>
  <c r="G295" i="30"/>
  <c r="H295" i="30"/>
  <c r="G296" i="30"/>
  <c r="H296" i="30"/>
  <c r="G297" i="30"/>
  <c r="H297" i="30"/>
  <c r="G298" i="30"/>
  <c r="H298" i="30"/>
  <c r="G299" i="30"/>
  <c r="H299" i="30"/>
  <c r="G300" i="30"/>
  <c r="H300" i="30"/>
  <c r="G301" i="30"/>
  <c r="H301" i="30"/>
  <c r="G302" i="30"/>
  <c r="H302" i="30"/>
  <c r="G303" i="30"/>
  <c r="H303" i="30"/>
  <c r="G304" i="30"/>
  <c r="H304" i="30"/>
  <c r="G305" i="30"/>
  <c r="H305" i="30"/>
  <c r="G306" i="30"/>
  <c r="H306" i="30"/>
  <c r="G307" i="30"/>
  <c r="H307" i="30"/>
  <c r="G308" i="30"/>
  <c r="H308" i="30"/>
  <c r="G309" i="30"/>
  <c r="H309" i="30"/>
  <c r="G310" i="30"/>
  <c r="H310" i="30"/>
  <c r="G311" i="30"/>
  <c r="H311" i="30"/>
  <c r="G312" i="30"/>
  <c r="H312" i="30"/>
  <c r="G313" i="30"/>
  <c r="H313" i="30"/>
  <c r="G314" i="30"/>
  <c r="H314" i="30"/>
  <c r="G315" i="30"/>
  <c r="H315" i="30"/>
  <c r="G316" i="30"/>
  <c r="H316" i="30"/>
  <c r="G317" i="30"/>
  <c r="H317" i="30"/>
  <c r="G318" i="30"/>
  <c r="H318" i="30"/>
  <c r="G319" i="30"/>
  <c r="H319" i="30"/>
  <c r="G320" i="30"/>
  <c r="H320" i="30"/>
  <c r="G321" i="30"/>
  <c r="H321" i="30"/>
  <c r="G322" i="30"/>
  <c r="H322" i="30"/>
  <c r="G323" i="30"/>
  <c r="H323" i="30"/>
  <c r="G324" i="30"/>
  <c r="H324" i="30"/>
  <c r="G325" i="30"/>
  <c r="H325" i="30"/>
  <c r="G326" i="30"/>
  <c r="H326" i="30"/>
  <c r="G327" i="30"/>
  <c r="H327" i="30"/>
  <c r="G328" i="30"/>
  <c r="H328" i="30"/>
  <c r="G329" i="30"/>
  <c r="H329" i="30"/>
  <c r="G330" i="30"/>
  <c r="H330" i="30"/>
  <c r="G331" i="30"/>
  <c r="H331" i="30"/>
  <c r="G332" i="30"/>
  <c r="H332" i="30"/>
  <c r="G333" i="30"/>
  <c r="H333" i="30"/>
  <c r="G334" i="30"/>
  <c r="H334" i="30"/>
  <c r="G335" i="30"/>
  <c r="H335" i="30"/>
  <c r="G336" i="30"/>
  <c r="H336" i="30"/>
  <c r="G337" i="30"/>
  <c r="H337" i="30"/>
  <c r="G338" i="30"/>
  <c r="H338" i="30"/>
  <c r="G339" i="30"/>
  <c r="H339" i="30"/>
  <c r="G340" i="30"/>
  <c r="H340" i="30"/>
  <c r="G341" i="30"/>
  <c r="H341" i="30"/>
  <c r="G342" i="30"/>
  <c r="H342" i="30"/>
  <c r="G343" i="30"/>
  <c r="H343" i="30"/>
  <c r="G344" i="30"/>
  <c r="H344" i="30"/>
  <c r="G345" i="30"/>
  <c r="H345" i="30"/>
  <c r="G346" i="30"/>
  <c r="H346" i="30"/>
  <c r="G347" i="30"/>
  <c r="H347" i="30"/>
  <c r="G348" i="30"/>
  <c r="H348" i="30"/>
  <c r="G349" i="30"/>
  <c r="H349" i="30"/>
  <c r="G350" i="30"/>
  <c r="H350" i="30"/>
  <c r="G351" i="30"/>
  <c r="H351" i="30"/>
  <c r="G352" i="30"/>
  <c r="H352" i="30"/>
  <c r="G353" i="30"/>
  <c r="H353" i="30"/>
  <c r="G354" i="30"/>
  <c r="H354" i="30"/>
  <c r="G355" i="30"/>
  <c r="H355" i="30"/>
  <c r="G356" i="30"/>
  <c r="H356" i="30"/>
  <c r="G357" i="30"/>
  <c r="H357" i="30"/>
  <c r="G358" i="30"/>
  <c r="H358" i="30"/>
  <c r="G359" i="30"/>
  <c r="H359" i="30"/>
  <c r="G360" i="30"/>
  <c r="H360" i="30"/>
  <c r="G361" i="30"/>
  <c r="H361" i="30"/>
  <c r="G362" i="30"/>
  <c r="H362" i="30"/>
  <c r="G363" i="30"/>
  <c r="H363" i="30"/>
  <c r="G364" i="30"/>
  <c r="H364" i="30"/>
  <c r="G365" i="30"/>
  <c r="H365" i="30"/>
  <c r="G366" i="30"/>
  <c r="H366" i="30"/>
  <c r="G367" i="30"/>
  <c r="H367" i="30"/>
  <c r="G368" i="30"/>
  <c r="H368" i="30"/>
  <c r="G369" i="30"/>
  <c r="H369" i="30"/>
  <c r="G370" i="30"/>
  <c r="H370" i="30"/>
  <c r="G371" i="30"/>
  <c r="H371" i="30"/>
  <c r="G372" i="30"/>
  <c r="H372" i="30"/>
  <c r="G373" i="30"/>
  <c r="H373" i="30"/>
  <c r="G374" i="30"/>
  <c r="H374" i="30"/>
  <c r="G375" i="30"/>
  <c r="H375" i="30"/>
  <c r="G376" i="30"/>
  <c r="H376" i="30"/>
  <c r="G377" i="30"/>
  <c r="H377" i="30"/>
  <c r="G378" i="30"/>
  <c r="H378" i="30"/>
  <c r="G379" i="30"/>
  <c r="H379" i="30"/>
  <c r="G380" i="30"/>
  <c r="H380" i="30"/>
  <c r="G381" i="30"/>
  <c r="H381" i="30"/>
  <c r="G382" i="30"/>
  <c r="H382" i="30"/>
  <c r="G383" i="30"/>
  <c r="H383" i="30"/>
  <c r="G384" i="30"/>
  <c r="H384" i="30"/>
  <c r="G385" i="30"/>
  <c r="H385" i="30"/>
  <c r="G386" i="30"/>
  <c r="H386" i="30"/>
  <c r="G387" i="30"/>
  <c r="H387" i="30"/>
  <c r="G388" i="30"/>
  <c r="H388" i="30"/>
  <c r="G389" i="30"/>
  <c r="H389" i="30"/>
  <c r="G390" i="30"/>
  <c r="H390" i="30"/>
  <c r="G391" i="30"/>
  <c r="H391" i="30"/>
  <c r="G392" i="30"/>
  <c r="H392" i="30"/>
  <c r="G393" i="30"/>
  <c r="H393" i="30"/>
  <c r="G394" i="30"/>
  <c r="H394" i="30"/>
  <c r="G395" i="30"/>
  <c r="H395" i="30"/>
  <c r="G396" i="30"/>
  <c r="H396" i="30"/>
  <c r="G397" i="30"/>
  <c r="H397" i="30"/>
  <c r="G398" i="30"/>
  <c r="H398" i="30"/>
  <c r="G399" i="30"/>
  <c r="H399" i="30"/>
  <c r="G400" i="30"/>
  <c r="H400" i="30"/>
  <c r="G401" i="30"/>
  <c r="H401" i="30"/>
  <c r="G402" i="30"/>
  <c r="H402" i="30"/>
  <c r="G403" i="30"/>
  <c r="H403" i="30"/>
  <c r="G404" i="30"/>
  <c r="H404" i="30"/>
  <c r="G405" i="30"/>
  <c r="H405" i="30"/>
  <c r="G406" i="30"/>
  <c r="H406" i="30"/>
  <c r="G407" i="30"/>
  <c r="H407" i="30"/>
  <c r="G408" i="30"/>
  <c r="H408" i="30"/>
  <c r="G409" i="30"/>
  <c r="H409" i="30"/>
  <c r="G410" i="30"/>
  <c r="H410" i="30"/>
  <c r="G411" i="30"/>
  <c r="H411" i="30"/>
  <c r="G412" i="30"/>
  <c r="H412" i="30"/>
  <c r="G413" i="30"/>
  <c r="H413" i="30"/>
  <c r="G414" i="30"/>
  <c r="H414" i="30"/>
  <c r="G415" i="30"/>
  <c r="H415" i="30"/>
  <c r="G416" i="30"/>
  <c r="H416" i="30"/>
  <c r="G417" i="30"/>
  <c r="H417" i="30"/>
  <c r="G418" i="30"/>
  <c r="H418" i="30"/>
  <c r="G419" i="30"/>
  <c r="H419" i="30"/>
  <c r="G420" i="30"/>
  <c r="H420" i="30"/>
  <c r="G421" i="30"/>
  <c r="H421" i="30"/>
  <c r="G422" i="30"/>
  <c r="H422" i="30"/>
  <c r="G423" i="30"/>
  <c r="H423" i="30"/>
  <c r="G424" i="30"/>
  <c r="H424" i="30"/>
  <c r="G425" i="30"/>
  <c r="H425" i="30"/>
  <c r="G426" i="30"/>
  <c r="H426" i="30"/>
  <c r="G427" i="30"/>
  <c r="H427" i="30"/>
  <c r="G428" i="30"/>
  <c r="H428" i="30"/>
  <c r="G429" i="30"/>
  <c r="H429" i="30"/>
  <c r="G430" i="30"/>
  <c r="H430" i="30"/>
  <c r="G431" i="30"/>
  <c r="H431" i="30"/>
  <c r="G432" i="30"/>
  <c r="H432" i="30"/>
  <c r="G433" i="30"/>
  <c r="H433" i="30"/>
  <c r="G434" i="30"/>
  <c r="H434" i="30"/>
  <c r="G435" i="30"/>
  <c r="H435" i="30"/>
  <c r="G436" i="30"/>
  <c r="H436" i="30"/>
  <c r="G437" i="30"/>
  <c r="H437" i="30"/>
  <c r="G438" i="30"/>
  <c r="H438" i="30"/>
  <c r="G439" i="30"/>
  <c r="H439" i="30"/>
  <c r="G440" i="30"/>
  <c r="H440" i="30"/>
  <c r="G441" i="30"/>
  <c r="H441" i="30"/>
  <c r="G442" i="30"/>
  <c r="H442" i="30"/>
  <c r="G443" i="30"/>
  <c r="H443" i="30"/>
  <c r="G444" i="30"/>
  <c r="H444" i="30"/>
  <c r="G445" i="30"/>
  <c r="H445" i="30"/>
  <c r="G446" i="30"/>
  <c r="H446" i="30"/>
  <c r="G447" i="30"/>
  <c r="H447" i="30"/>
  <c r="G448" i="30"/>
  <c r="H448" i="30"/>
  <c r="G449" i="30"/>
  <c r="H449" i="30"/>
  <c r="G450" i="30"/>
  <c r="H450" i="30"/>
  <c r="G452" i="30"/>
  <c r="H452" i="30"/>
  <c r="G453" i="30"/>
  <c r="H453" i="30"/>
  <c r="G454" i="30"/>
  <c r="H454" i="30"/>
  <c r="G455" i="30"/>
  <c r="H455" i="30"/>
  <c r="G456" i="30"/>
  <c r="H456" i="30"/>
  <c r="G457" i="30"/>
  <c r="H457" i="30"/>
  <c r="G458" i="30"/>
  <c r="H458" i="30"/>
  <c r="G459" i="30"/>
  <c r="H459" i="30"/>
  <c r="G460" i="30"/>
  <c r="H460" i="30"/>
  <c r="G461" i="30"/>
  <c r="H461" i="30"/>
  <c r="G462" i="30"/>
  <c r="H462" i="30"/>
  <c r="G463" i="30"/>
  <c r="H463" i="30"/>
  <c r="G464" i="30"/>
  <c r="H464" i="30"/>
  <c r="G465" i="30"/>
  <c r="H465" i="30"/>
  <c r="G466" i="30"/>
  <c r="H466" i="30"/>
  <c r="G467" i="30"/>
  <c r="H467" i="30"/>
  <c r="G468" i="30"/>
  <c r="H468" i="30"/>
  <c r="G469" i="30"/>
  <c r="H469" i="30"/>
  <c r="G470" i="30"/>
  <c r="H470" i="30"/>
  <c r="G471" i="30"/>
  <c r="H471" i="30"/>
  <c r="G472" i="30"/>
  <c r="H472" i="30"/>
  <c r="G473" i="30"/>
  <c r="H473" i="30"/>
  <c r="G474" i="30"/>
  <c r="H474" i="30"/>
  <c r="G475" i="30"/>
  <c r="H475" i="30"/>
  <c r="G476" i="30"/>
  <c r="H476" i="30"/>
  <c r="G477" i="30"/>
  <c r="H477" i="30"/>
  <c r="G478" i="30"/>
  <c r="H478" i="30"/>
  <c r="G479" i="30"/>
  <c r="H479" i="30"/>
  <c r="G480" i="30"/>
  <c r="H480" i="30"/>
  <c r="G481" i="30"/>
  <c r="H481" i="30"/>
  <c r="G482" i="30"/>
  <c r="H482" i="30"/>
  <c r="G483" i="30"/>
  <c r="H483" i="30"/>
  <c r="G484" i="30"/>
  <c r="H484" i="30"/>
  <c r="G485" i="30"/>
  <c r="H485" i="30"/>
  <c r="G486" i="30"/>
  <c r="H486" i="30"/>
  <c r="G487" i="30"/>
  <c r="H487" i="30"/>
  <c r="G488" i="30"/>
  <c r="H488" i="30"/>
  <c r="G489" i="30"/>
  <c r="H489" i="30"/>
  <c r="G490" i="30"/>
  <c r="H490" i="30"/>
  <c r="G491" i="30"/>
  <c r="H491" i="30"/>
  <c r="G492" i="30"/>
  <c r="H492" i="30"/>
  <c r="G493" i="30"/>
  <c r="H493" i="30"/>
  <c r="G494" i="30"/>
  <c r="H494" i="30"/>
  <c r="G495" i="30"/>
  <c r="H495" i="30"/>
  <c r="G496" i="30"/>
  <c r="H496" i="30"/>
  <c r="G497" i="30"/>
  <c r="H497" i="30"/>
  <c r="G498" i="30"/>
  <c r="H498" i="30"/>
  <c r="G499" i="30"/>
  <c r="H499" i="30"/>
  <c r="G500" i="30"/>
  <c r="H500" i="30"/>
  <c r="G501" i="30"/>
  <c r="H501" i="30"/>
  <c r="G502" i="30"/>
  <c r="H502" i="30"/>
  <c r="G503" i="30"/>
  <c r="H503" i="30"/>
  <c r="G504" i="30"/>
  <c r="H504" i="30"/>
  <c r="G505" i="30"/>
  <c r="H505" i="30"/>
  <c r="G506" i="30"/>
  <c r="H506" i="30"/>
  <c r="G507" i="30"/>
  <c r="H507" i="30"/>
  <c r="G508" i="30"/>
  <c r="H508" i="30"/>
  <c r="G509" i="30"/>
  <c r="H509" i="30"/>
  <c r="G510" i="30"/>
  <c r="H510" i="30"/>
  <c r="G511" i="30"/>
  <c r="H511" i="30"/>
  <c r="G512" i="30"/>
  <c r="H512" i="30"/>
  <c r="G513" i="30"/>
  <c r="H513" i="30"/>
  <c r="G514" i="30"/>
  <c r="H514" i="30"/>
  <c r="G515" i="30"/>
  <c r="H515" i="30"/>
  <c r="G516" i="30"/>
  <c r="H516" i="30"/>
  <c r="G517" i="30"/>
  <c r="H517" i="30"/>
  <c r="G518" i="30"/>
  <c r="H518" i="30"/>
  <c r="G519" i="30"/>
  <c r="H519" i="30"/>
  <c r="G520" i="30"/>
  <c r="H520" i="30"/>
  <c r="G521" i="30"/>
  <c r="H521" i="30"/>
  <c r="G522" i="30"/>
  <c r="H522" i="30"/>
  <c r="G523" i="30"/>
  <c r="H523" i="30"/>
  <c r="G524" i="30"/>
  <c r="H524" i="30"/>
  <c r="G525" i="30"/>
  <c r="H525" i="30"/>
  <c r="G526" i="30"/>
  <c r="H526" i="30"/>
  <c r="G527" i="30"/>
  <c r="H527" i="30"/>
  <c r="G528" i="30"/>
  <c r="H528" i="30"/>
  <c r="G529" i="30"/>
  <c r="H529" i="30"/>
  <c r="G530" i="30"/>
  <c r="H530" i="30"/>
  <c r="G531" i="30"/>
  <c r="H531" i="30"/>
  <c r="G532" i="30"/>
  <c r="H532" i="30"/>
  <c r="G533" i="30"/>
  <c r="H533" i="30"/>
  <c r="G534" i="30"/>
  <c r="H534" i="30"/>
  <c r="G535" i="30"/>
  <c r="H535" i="30"/>
  <c r="G536" i="30"/>
  <c r="H536" i="30"/>
  <c r="G537" i="30"/>
  <c r="H537" i="30"/>
  <c r="G538" i="30"/>
  <c r="H538" i="30"/>
  <c r="G539" i="30"/>
  <c r="H539" i="30"/>
  <c r="G540" i="30"/>
  <c r="H540" i="30"/>
  <c r="G541" i="30"/>
  <c r="H541" i="30"/>
  <c r="G542" i="30"/>
  <c r="H542" i="30"/>
  <c r="G543" i="30"/>
  <c r="H543" i="30"/>
  <c r="G544" i="30"/>
  <c r="H544" i="30"/>
  <c r="G545" i="30"/>
  <c r="H545" i="30"/>
  <c r="G546" i="30"/>
  <c r="H546" i="30"/>
  <c r="G547" i="30"/>
  <c r="H547" i="30"/>
  <c r="G548" i="30"/>
  <c r="H548" i="30"/>
  <c r="G549" i="30"/>
  <c r="H549" i="30"/>
  <c r="G550" i="30"/>
  <c r="H550" i="30"/>
  <c r="G551" i="30"/>
  <c r="H551" i="30"/>
  <c r="G552" i="30"/>
  <c r="H552" i="30"/>
  <c r="G553" i="30"/>
  <c r="H553" i="30"/>
  <c r="G554" i="30"/>
  <c r="H554" i="30"/>
  <c r="G555" i="30"/>
  <c r="H555" i="30"/>
  <c r="G556" i="30"/>
  <c r="H556" i="30"/>
  <c r="G557" i="30"/>
  <c r="H557" i="30"/>
  <c r="G558" i="30"/>
  <c r="H558" i="30"/>
  <c r="G559" i="30"/>
  <c r="H559" i="30"/>
  <c r="G560" i="30"/>
  <c r="H560" i="30"/>
  <c r="G561" i="30"/>
  <c r="H561" i="30"/>
  <c r="G562" i="30"/>
  <c r="H562" i="30"/>
  <c r="G563" i="30"/>
  <c r="H563" i="30"/>
  <c r="G564" i="30"/>
  <c r="H564" i="30"/>
  <c r="G565" i="30"/>
  <c r="H565" i="30"/>
  <c r="G566" i="30"/>
  <c r="H566" i="30"/>
  <c r="G567" i="30"/>
  <c r="H567" i="30"/>
  <c r="G568" i="30"/>
  <c r="H568" i="30"/>
  <c r="G569" i="30"/>
  <c r="H569" i="30"/>
  <c r="G570" i="30"/>
  <c r="H570" i="30"/>
  <c r="G571" i="30"/>
  <c r="H571" i="30"/>
  <c r="G572" i="30"/>
  <c r="H572" i="30"/>
  <c r="G573" i="30"/>
  <c r="H573" i="30"/>
  <c r="G574" i="30"/>
  <c r="H574" i="30"/>
  <c r="G575" i="30"/>
  <c r="H575" i="30"/>
  <c r="G576" i="30"/>
  <c r="H576" i="30"/>
  <c r="G577" i="30"/>
  <c r="H577" i="30"/>
  <c r="G578" i="30"/>
  <c r="H578" i="30"/>
  <c r="G579" i="30"/>
  <c r="H579" i="30"/>
  <c r="G580" i="30"/>
  <c r="H580" i="30"/>
  <c r="G581" i="30"/>
  <c r="H581" i="30"/>
  <c r="G582" i="30"/>
  <c r="H582" i="30"/>
  <c r="G583" i="30"/>
  <c r="H583" i="30"/>
  <c r="G584" i="30"/>
  <c r="H584" i="30"/>
  <c r="G585" i="30"/>
  <c r="H585" i="30"/>
  <c r="G586" i="30"/>
  <c r="H586" i="30"/>
  <c r="G587" i="30"/>
  <c r="H587" i="30"/>
  <c r="G588" i="30"/>
  <c r="H588" i="30"/>
  <c r="G589" i="30"/>
  <c r="H589" i="30"/>
  <c r="G590" i="30"/>
  <c r="H590" i="30"/>
  <c r="G591" i="30"/>
  <c r="H591" i="30"/>
  <c r="H2" i="30"/>
  <c r="G2" i="30"/>
  <c r="A9" i="30"/>
  <c r="A10" i="30"/>
  <c r="A11" i="30"/>
  <c r="A12" i="30"/>
  <c r="A13" i="30"/>
  <c r="A14" i="30"/>
  <c r="A15" i="30"/>
  <c r="A16" i="30"/>
  <c r="A19" i="30"/>
  <c r="A325" i="30"/>
  <c r="A323" i="30"/>
  <c r="A316" i="30"/>
  <c r="A310" i="30"/>
  <c r="A309" i="30"/>
  <c r="A308" i="30"/>
  <c r="A307" i="30"/>
  <c r="A303" i="30"/>
  <c r="A302" i="30"/>
  <c r="A301" i="30"/>
  <c r="A300" i="30"/>
  <c r="A299" i="30"/>
  <c r="A298" i="30"/>
  <c r="A297" i="30"/>
  <c r="A296" i="30"/>
  <c r="A284" i="30"/>
  <c r="A273" i="30"/>
  <c r="A272" i="30"/>
  <c r="A271" i="30"/>
  <c r="A269" i="30"/>
  <c r="A264" i="30"/>
  <c r="A260" i="30"/>
  <c r="A255" i="30"/>
  <c r="A254" i="30"/>
  <c r="A245" i="30"/>
  <c r="A238" i="30"/>
  <c r="A233" i="30"/>
  <c r="A231" i="30"/>
  <c r="A228" i="30"/>
  <c r="A226" i="30"/>
  <c r="A224" i="30"/>
  <c r="A222" i="30"/>
  <c r="A219" i="30"/>
  <c r="A218" i="30"/>
  <c r="A217" i="30"/>
  <c r="A216" i="30"/>
  <c r="A208" i="30"/>
  <c r="A207" i="30"/>
  <c r="A206" i="30"/>
  <c r="A205" i="30"/>
  <c r="A203" i="30"/>
  <c r="A202" i="30"/>
  <c r="A201" i="30"/>
  <c r="A200" i="30"/>
  <c r="A199" i="30"/>
  <c r="A198" i="30"/>
  <c r="A197" i="30"/>
  <c r="A195" i="30"/>
  <c r="A193" i="30"/>
  <c r="A192" i="30"/>
  <c r="A190" i="30"/>
  <c r="A189" i="30"/>
  <c r="A188" i="30"/>
  <c r="A187" i="30"/>
  <c r="A186" i="30"/>
  <c r="A185" i="30"/>
  <c r="A184" i="30"/>
  <c r="A183" i="30"/>
  <c r="A182" i="30"/>
  <c r="A180" i="30"/>
  <c r="A179" i="30"/>
  <c r="A178" i="30"/>
  <c r="A176" i="30"/>
  <c r="A175" i="30"/>
  <c r="A171" i="30"/>
  <c r="A167" i="30"/>
  <c r="A166" i="30"/>
  <c r="A165" i="30"/>
  <c r="A164" i="30"/>
  <c r="A163" i="30"/>
  <c r="A161" i="30"/>
  <c r="A160" i="30"/>
  <c r="A159" i="30"/>
  <c r="A158" i="30"/>
  <c r="A157" i="30"/>
  <c r="A156" i="30"/>
  <c r="A155" i="30"/>
  <c r="A154" i="30"/>
  <c r="A152" i="30"/>
  <c r="A149" i="30"/>
  <c r="A148" i="30"/>
  <c r="A147" i="30"/>
  <c r="A146" i="30"/>
  <c r="A145" i="30"/>
  <c r="A144" i="30"/>
  <c r="A141" i="30"/>
  <c r="A139" i="30"/>
  <c r="A137" i="30"/>
  <c r="A136" i="30"/>
  <c r="A135" i="30"/>
  <c r="A132" i="30"/>
  <c r="A131" i="30"/>
  <c r="A126" i="30"/>
  <c r="A125" i="30"/>
  <c r="A124" i="30"/>
  <c r="A123" i="30"/>
  <c r="A122" i="30"/>
  <c r="A121" i="30"/>
  <c r="A120" i="30"/>
  <c r="A119" i="30"/>
  <c r="A117" i="30"/>
  <c r="A116" i="30"/>
  <c r="A115" i="30"/>
  <c r="A114" i="30"/>
  <c r="A113" i="30"/>
  <c r="A111" i="30"/>
  <c r="A109" i="30"/>
  <c r="A108" i="30"/>
  <c r="A107" i="30"/>
  <c r="A105" i="30"/>
  <c r="A104" i="30"/>
  <c r="A103" i="30"/>
  <c r="A102" i="30"/>
  <c r="A100" i="30"/>
  <c r="A99" i="30"/>
  <c r="A98" i="30"/>
  <c r="A96" i="30"/>
  <c r="A93" i="30"/>
  <c r="A89" i="30"/>
  <c r="A88" i="30"/>
  <c r="A87" i="30"/>
  <c r="A84" i="30"/>
  <c r="A82" i="30"/>
  <c r="A79" i="30"/>
  <c r="A78" i="30"/>
  <c r="A76" i="30"/>
  <c r="A73" i="30"/>
  <c r="A71" i="30"/>
  <c r="A69" i="30"/>
  <c r="A67" i="30"/>
  <c r="A66" i="30"/>
  <c r="A64" i="30"/>
  <c r="A63" i="30"/>
  <c r="A62" i="30"/>
  <c r="A61" i="30"/>
  <c r="A60" i="30"/>
  <c r="A52" i="30"/>
  <c r="A51" i="30"/>
  <c r="A50" i="30"/>
  <c r="A42" i="30"/>
  <c r="A41" i="30"/>
  <c r="A37" i="30"/>
  <c r="A32" i="30"/>
  <c r="A30" i="30"/>
  <c r="A23" i="30"/>
  <c r="A252" i="30"/>
  <c r="A134" i="30"/>
  <c r="A31" i="30"/>
  <c r="A55" i="30"/>
  <c r="A97" i="30"/>
  <c r="A22" i="30"/>
  <c r="A75" i="30"/>
  <c r="A290" i="30"/>
  <c r="A83" i="30"/>
  <c r="A215" i="30"/>
  <c r="A59" i="30"/>
  <c r="A65" i="30"/>
  <c r="A72" i="30"/>
  <c r="A74" i="30"/>
  <c r="I1" i="32"/>
  <c r="J1" i="32"/>
  <c r="K1" i="32"/>
  <c r="L1" i="32"/>
  <c r="M1" i="32"/>
  <c r="H1" i="32"/>
  <c r="G1" i="32"/>
  <c r="F1" i="32"/>
  <c r="E1" i="32"/>
  <c r="D1" i="32"/>
  <c r="A150" i="30"/>
  <c r="A235" i="30"/>
  <c r="A143" i="30"/>
  <c r="A286" i="30"/>
  <c r="A315" i="30"/>
  <c r="A48" i="30"/>
  <c r="A210" i="30"/>
  <c r="A275" i="30"/>
  <c r="A291" i="30"/>
  <c r="A279" i="30"/>
  <c r="A129" i="30"/>
  <c r="A324" i="30"/>
  <c r="A249" i="30"/>
  <c r="A277" i="30"/>
  <c r="A287" i="30"/>
  <c r="A293" i="30"/>
  <c r="A263" i="30"/>
  <c r="A304" i="30"/>
  <c r="A220" i="30"/>
  <c r="A196" i="30"/>
  <c r="A294" i="30"/>
  <c r="A232" i="30"/>
  <c r="A314" i="30"/>
  <c r="A21" i="30"/>
  <c r="A318" i="30"/>
  <c r="A57" i="30"/>
  <c r="A172" i="30"/>
  <c r="A169" i="30"/>
  <c r="A106" i="30"/>
  <c r="A266" i="30"/>
  <c r="A295" i="30"/>
  <c r="A133" i="30"/>
  <c r="A209" i="30"/>
  <c r="A194" i="30"/>
  <c r="A265" i="30"/>
  <c r="A90" i="30"/>
  <c r="A211" i="30"/>
  <c r="A225" i="30"/>
  <c r="A281" i="30"/>
  <c r="A250" i="30"/>
  <c r="A261" i="30"/>
  <c r="A3" i="30"/>
  <c r="A292" i="30"/>
  <c r="A81" i="30"/>
  <c r="A221" i="30"/>
  <c r="A91" i="30"/>
  <c r="A230" i="30"/>
  <c r="A274" i="30"/>
  <c r="A283" i="30"/>
  <c r="A168" i="30"/>
  <c r="A223" i="30"/>
  <c r="A140" i="30"/>
  <c r="A174" i="30"/>
  <c r="A257" i="30"/>
  <c r="A276" i="30"/>
  <c r="A153" i="30"/>
  <c r="A311" i="30"/>
  <c r="A24" i="30"/>
  <c r="A229" i="30"/>
  <c r="A227" i="30"/>
  <c r="A212" i="30"/>
  <c r="A130" i="30"/>
  <c r="A270" i="30"/>
  <c r="A243" i="30"/>
  <c r="A236" i="30"/>
  <c r="A306" i="30"/>
  <c r="A128" i="30"/>
  <c r="A242" i="30"/>
  <c r="A246" i="30"/>
  <c r="A312" i="30"/>
  <c r="A317" i="30"/>
  <c r="A248" i="30"/>
  <c r="A259" i="30"/>
  <c r="A85" i="30"/>
  <c r="A58" i="30"/>
  <c r="A320" i="30"/>
  <c r="A213" i="30"/>
  <c r="A326" i="30"/>
  <c r="A278" i="30"/>
  <c r="A112" i="30"/>
  <c r="A268" i="30"/>
  <c r="A288" i="30"/>
  <c r="A237" i="30"/>
  <c r="A151" i="30"/>
  <c r="A20" i="30"/>
  <c r="A239" i="30"/>
  <c r="A127" i="30"/>
  <c r="A305" i="30"/>
  <c r="A43" i="30"/>
  <c r="A170" i="30"/>
  <c r="A262" i="30"/>
  <c r="A313" i="30"/>
  <c r="A68" i="30"/>
  <c r="A289" i="30"/>
  <c r="A142" i="30"/>
  <c r="E31" i="16"/>
  <c r="B31" i="16"/>
  <c r="R34" i="23"/>
  <c r="R33" i="23"/>
  <c r="R32" i="23"/>
  <c r="R15" i="23"/>
  <c r="R14" i="23"/>
  <c r="R11" i="23"/>
  <c r="R13" i="23"/>
  <c r="R12" i="23"/>
  <c r="O17" i="23" s="1"/>
  <c r="A47" i="30"/>
  <c r="A501" i="30"/>
  <c r="A488" i="30"/>
  <c r="A374" i="30"/>
  <c r="A499" i="30"/>
  <c r="A587" i="30"/>
  <c r="A6" i="30"/>
  <c r="A561" i="30"/>
  <c r="A512" i="30"/>
  <c r="A520" i="30"/>
  <c r="A86" i="30"/>
  <c r="A448" i="30"/>
  <c r="A560" i="30"/>
  <c r="A383" i="30"/>
  <c r="A332" i="30"/>
  <c r="A444" i="30"/>
  <c r="A481" i="30"/>
  <c r="A443" i="30"/>
  <c r="A49" i="30"/>
  <c r="A25" i="30"/>
  <c r="A524" i="30"/>
  <c r="A465" i="30"/>
  <c r="A434" i="30"/>
  <c r="A118" i="30"/>
  <c r="A35" i="30"/>
  <c r="A38" i="30"/>
  <c r="A251" i="30"/>
  <c r="A256" i="30"/>
  <c r="A579" i="30"/>
  <c r="A543" i="30"/>
  <c r="A544" i="30"/>
  <c r="A475" i="30"/>
  <c r="A523" i="30"/>
  <c r="A110" i="30"/>
  <c r="A591" i="30"/>
  <c r="A280" i="30"/>
  <c r="A5" i="30"/>
  <c r="A437" i="30"/>
  <c r="A253" i="30"/>
  <c r="A438" i="30"/>
  <c r="A487" i="30"/>
  <c r="A514" i="30"/>
  <c r="K8" i="31"/>
  <c r="A44" i="30"/>
  <c r="A449" i="30"/>
  <c r="A241" i="30"/>
  <c r="A384" i="30"/>
  <c r="A490" i="30"/>
  <c r="A319" i="30"/>
  <c r="A519" i="30"/>
  <c r="A26" i="30"/>
  <c r="A435" i="30"/>
  <c r="N17" i="23" l="1"/>
  <c r="G76" i="15"/>
  <c r="E76" i="15"/>
  <c r="C71" i="15"/>
  <c r="C68" i="15"/>
  <c r="G91" i="38"/>
  <c r="G20" i="16" s="1"/>
  <c r="D41" i="34"/>
  <c r="D68" i="15"/>
  <c r="F76" i="15"/>
  <c r="E69" i="15"/>
  <c r="P17" i="23"/>
  <c r="E21" i="23" s="1"/>
  <c r="F69" i="15"/>
  <c r="G69" i="15"/>
  <c r="C68" i="16"/>
  <c r="C17" i="3"/>
  <c r="B39" i="16" s="1"/>
  <c r="E20" i="23"/>
  <c r="R30" i="23"/>
  <c r="O36" i="23" s="1"/>
  <c r="E31" i="23" s="1"/>
  <c r="E19" i="23"/>
  <c r="R29" i="23"/>
  <c r="N36" i="23" s="1"/>
  <c r="E30" i="23" s="1"/>
  <c r="B68" i="16"/>
  <c r="B20" i="15"/>
  <c r="E68" i="15"/>
  <c r="D75" i="15"/>
  <c r="C70" i="15"/>
  <c r="C80" i="15"/>
  <c r="D70" i="15"/>
  <c r="C72" i="15"/>
  <c r="C74" i="15"/>
  <c r="C78" i="15"/>
  <c r="D80" i="15"/>
  <c r="C69" i="15"/>
  <c r="E70" i="15"/>
  <c r="D72" i="15"/>
  <c r="D74" i="15"/>
  <c r="C76" i="15"/>
  <c r="D78" i="15"/>
  <c r="E80" i="15"/>
  <c r="K7" i="31"/>
  <c r="F70" i="15"/>
  <c r="E72" i="15"/>
  <c r="E74" i="15"/>
  <c r="E78" i="15"/>
  <c r="F80" i="15"/>
  <c r="K9" i="31"/>
  <c r="F72" i="15"/>
  <c r="F74" i="15"/>
  <c r="F78" i="15"/>
  <c r="A586" i="30"/>
  <c r="A53" i="30"/>
  <c r="A27" i="30"/>
  <c r="A547" i="30"/>
  <c r="A495" i="30"/>
  <c r="A590" i="30"/>
  <c r="A80" i="30"/>
  <c r="A2" i="30"/>
  <c r="A470" i="30"/>
  <c r="A525" i="30"/>
  <c r="A510" i="30"/>
  <c r="A540" i="30"/>
  <c r="A36" i="30"/>
  <c r="A584" i="30"/>
  <c r="A576" i="30"/>
  <c r="A516" i="30"/>
  <c r="A471" i="30"/>
  <c r="A573" i="30"/>
  <c r="A376" i="30"/>
  <c r="A482" i="30"/>
  <c r="A436" i="30"/>
  <c r="A39" i="30"/>
  <c r="A181" i="30"/>
  <c r="A431" i="30"/>
  <c r="A498" i="30"/>
  <c r="A45" i="30"/>
  <c r="A447" i="30"/>
  <c r="A8" i="30"/>
  <c r="A578" i="30"/>
  <c r="A285" i="30"/>
  <c r="A56" i="30"/>
  <c r="A29" i="30"/>
  <c r="A479" i="30"/>
  <c r="A214" i="30"/>
  <c r="A554" i="30"/>
  <c r="A518" i="30"/>
  <c r="A563" i="30"/>
  <c r="A555" i="30"/>
  <c r="A258" i="30"/>
  <c r="A177" i="30"/>
  <c r="A356" i="30"/>
  <c r="A468" i="30"/>
  <c r="A491" i="30"/>
  <c r="A515" i="30"/>
  <c r="A574" i="30"/>
  <c r="A541" i="30"/>
  <c r="A521" i="30"/>
  <c r="A101" i="30"/>
  <c r="A469" i="30"/>
  <c r="A480" i="30"/>
  <c r="A94" i="30"/>
  <c r="A191" i="30"/>
  <c r="A234" i="30"/>
  <c r="A485" i="30"/>
  <c r="A173" i="30"/>
  <c r="A28" i="30"/>
  <c r="A247" i="30"/>
  <c r="A40" i="30"/>
  <c r="A450" i="30"/>
  <c r="A562" i="30"/>
  <c r="A244" i="30"/>
  <c r="A440" i="30"/>
  <c r="A511" i="30"/>
  <c r="A513" i="30"/>
  <c r="A372" i="30"/>
  <c r="A204" i="30"/>
  <c r="A588" i="30"/>
  <c r="A451" i="30"/>
  <c r="A267" i="30"/>
  <c r="A502" i="30"/>
  <c r="A54" i="30"/>
  <c r="A466" i="30"/>
  <c r="A18" i="30"/>
  <c r="A585" i="30"/>
  <c r="A454" i="30"/>
  <c r="A442" i="30"/>
  <c r="A430" i="30"/>
  <c r="A138" i="30"/>
  <c r="A441" i="30"/>
  <c r="A360" i="30"/>
  <c r="A461" i="30"/>
  <c r="A70" i="30"/>
  <c r="A500" i="30"/>
  <c r="A162" i="30"/>
  <c r="A546" i="30"/>
  <c r="A548" i="30"/>
  <c r="A363" i="30"/>
  <c r="A577" i="30"/>
  <c r="A472" i="30"/>
  <c r="A582" i="30"/>
  <c r="A282" i="30"/>
  <c r="A589" i="30"/>
  <c r="A4" i="30"/>
  <c r="A462" i="30"/>
  <c r="A463" i="30"/>
  <c r="A367" i="30"/>
  <c r="A240" i="30"/>
  <c r="A46" i="30"/>
  <c r="A34" i="30"/>
  <c r="A17" i="30"/>
  <c r="A341" i="30"/>
  <c r="A572" i="30"/>
  <c r="A545" i="30"/>
  <c r="A7" i="30"/>
  <c r="A571" i="30"/>
  <c r="A322" i="30"/>
  <c r="A77" i="30"/>
  <c r="A575" i="30"/>
  <c r="A507" i="30"/>
  <c r="A33" i="30"/>
  <c r="A95" i="30"/>
  <c r="A489" i="30"/>
  <c r="A321" i="30"/>
  <c r="A422" i="30"/>
  <c r="A92" i="30"/>
  <c r="A467" i="30"/>
  <c r="A464" i="30"/>
  <c r="A559" i="30"/>
  <c r="A473" i="30"/>
  <c r="A327" i="30"/>
  <c r="A439" i="30"/>
  <c r="A542" i="30"/>
  <c r="A557" i="30"/>
  <c r="A517" i="30"/>
  <c r="A486" i="30"/>
  <c r="B77" i="16" l="1"/>
  <c r="B78" i="16" s="1"/>
  <c r="B17" i="15" s="1"/>
  <c r="H91" i="38"/>
  <c r="H20" i="16" s="1"/>
  <c r="R31" i="23"/>
  <c r="P36" i="23" s="1"/>
  <c r="E32" i="23" s="1"/>
  <c r="K10" i="31"/>
  <c r="K11" i="31" s="1"/>
  <c r="B25" i="15"/>
  <c r="C20" i="15"/>
  <c r="D11" i="31"/>
  <c r="I91" i="38" l="1"/>
  <c r="I20" i="16" s="1"/>
  <c r="B26" i="31"/>
  <c r="B27" i="31"/>
  <c r="B88" i="31"/>
  <c r="B57" i="31"/>
  <c r="B51" i="31"/>
  <c r="B63" i="31"/>
  <c r="B82" i="31"/>
  <c r="B31" i="31"/>
  <c r="B87" i="31"/>
  <c r="B85" i="31"/>
  <c r="B78" i="31"/>
  <c r="B86" i="31"/>
  <c r="B45" i="31"/>
  <c r="B66" i="31"/>
  <c r="B69" i="31"/>
  <c r="B47" i="31"/>
  <c r="B77" i="31"/>
  <c r="D12" i="31"/>
  <c r="B32" i="31"/>
  <c r="B96" i="31"/>
  <c r="B65" i="31"/>
  <c r="B59" i="31"/>
  <c r="B90" i="31"/>
  <c r="B71" i="31"/>
  <c r="B29" i="31"/>
  <c r="B93" i="31"/>
  <c r="B55" i="31"/>
  <c r="B41" i="31"/>
  <c r="B76" i="31"/>
  <c r="B40" i="31"/>
  <c r="B39" i="31"/>
  <c r="B73" i="31"/>
  <c r="B75" i="31"/>
  <c r="B34" i="31"/>
  <c r="B98" i="31"/>
  <c r="B28" i="31"/>
  <c r="B37" i="31"/>
  <c r="B30" i="31"/>
  <c r="B94" i="31"/>
  <c r="B43" i="31"/>
  <c r="B38" i="31"/>
  <c r="B62" i="31"/>
  <c r="B80" i="31"/>
  <c r="B35" i="31"/>
  <c r="B84" i="31"/>
  <c r="B70" i="31"/>
  <c r="B48" i="31"/>
  <c r="B79" i="31"/>
  <c r="B81" i="31"/>
  <c r="B83" i="31"/>
  <c r="B42" i="31"/>
  <c r="B36" i="31"/>
  <c r="B92" i="31"/>
  <c r="B56" i="31"/>
  <c r="B25" i="31"/>
  <c r="B89" i="31"/>
  <c r="B99" i="31"/>
  <c r="B50" i="31"/>
  <c r="B67" i="31"/>
  <c r="B44" i="31"/>
  <c r="B53" i="31"/>
  <c r="B46" i="31"/>
  <c r="B95" i="31"/>
  <c r="B61" i="31"/>
  <c r="B54" i="31"/>
  <c r="B64" i="31"/>
  <c r="B33" i="31"/>
  <c r="B97" i="31"/>
  <c r="B68" i="31"/>
  <c r="B58" i="31"/>
  <c r="B91" i="31"/>
  <c r="B52" i="31"/>
  <c r="B72" i="31"/>
  <c r="B60" i="31"/>
  <c r="B49" i="31"/>
  <c r="B74" i="31"/>
  <c r="B100" i="31"/>
  <c r="D68" i="16"/>
  <c r="E68" i="16"/>
  <c r="D20" i="15"/>
  <c r="C25" i="15"/>
  <c r="B24" i="31"/>
  <c r="B9" i="31"/>
  <c r="C20" i="34"/>
  <c r="B20" i="31"/>
  <c r="B7" i="31"/>
  <c r="B5" i="31"/>
  <c r="B10" i="31"/>
  <c r="B17" i="31"/>
  <c r="B18" i="31"/>
  <c r="B12" i="31"/>
  <c r="B15" i="31"/>
  <c r="B8" i="31"/>
  <c r="B14" i="31"/>
  <c r="B22" i="31"/>
  <c r="B21" i="31"/>
  <c r="B13" i="31"/>
  <c r="B23" i="31"/>
  <c r="B6" i="31"/>
  <c r="B19" i="31"/>
  <c r="B16" i="31"/>
  <c r="B11" i="31"/>
  <c r="J91" i="38" l="1"/>
  <c r="J20" i="16" s="1"/>
  <c r="E20" i="34"/>
  <c r="F31" i="16" s="1"/>
  <c r="D13" i="31"/>
  <c r="K13" i="31"/>
  <c r="K14" i="31" s="1"/>
  <c r="K15" i="31" s="1"/>
  <c r="F68" i="16"/>
  <c r="D25" i="15"/>
  <c r="E20" i="15"/>
  <c r="K91" i="38" l="1"/>
  <c r="F13" i="31"/>
  <c r="G68" i="16"/>
  <c r="E25" i="15"/>
  <c r="F20" i="15"/>
  <c r="F25" i="15" s="1"/>
  <c r="F19" i="34"/>
  <c r="G19" i="34"/>
  <c r="G14" i="38" l="1"/>
  <c r="F14" i="38"/>
  <c r="K20" i="16"/>
  <c r="F37" i="34"/>
  <c r="F26" i="34"/>
  <c r="G37" i="34"/>
  <c r="G26" i="34"/>
  <c r="H68" i="16"/>
  <c r="G41" i="34" l="1"/>
  <c r="G16" i="38"/>
  <c r="F41" i="34"/>
  <c r="F16" i="38"/>
  <c r="I68" i="16"/>
  <c r="G47" i="34" l="1"/>
  <c r="G17" i="38"/>
  <c r="F47" i="34"/>
  <c r="F17" i="38"/>
  <c r="B39" i="34"/>
  <c r="K68" i="16"/>
  <c r="J68" i="16"/>
  <c r="G18" i="38" l="1"/>
  <c r="C33" i="38" s="1"/>
  <c r="C69" i="38" s="1"/>
  <c r="F18" i="38"/>
  <c r="B33" i="38" s="1"/>
  <c r="C68" i="38" s="1"/>
  <c r="G33" i="38"/>
  <c r="B69" i="38" s="1"/>
  <c r="B18" i="16" s="1"/>
  <c r="F33" i="38"/>
  <c r="B68" i="38" s="1"/>
  <c r="B17" i="16" s="1"/>
  <c r="C18" i="16" l="1"/>
  <c r="B13" i="19"/>
  <c r="C16" i="19" s="1"/>
  <c r="C17" i="16"/>
  <c r="B81" i="16" s="1"/>
  <c r="B15" i="15" s="1"/>
  <c r="B12" i="19"/>
  <c r="I27" i="19" s="1"/>
  <c r="I28" i="19" s="1"/>
  <c r="C25" i="19" l="1"/>
  <c r="C35" i="19"/>
  <c r="D37" i="19"/>
  <c r="D38" i="19" s="1"/>
  <c r="K18" i="19"/>
  <c r="K19" i="19" s="1"/>
  <c r="J92" i="38" s="1"/>
  <c r="L37" i="19"/>
  <c r="L38" i="19" s="1"/>
  <c r="J37" i="19"/>
  <c r="J38" i="19" s="1"/>
  <c r="I37" i="19"/>
  <c r="I38" i="19" s="1"/>
  <c r="D18" i="19"/>
  <c r="D19" i="19" s="1"/>
  <c r="C92" i="38" s="1"/>
  <c r="C37" i="19"/>
  <c r="C38" i="19" s="1"/>
  <c r="H27" i="19"/>
  <c r="H28" i="19" s="1"/>
  <c r="K37" i="19"/>
  <c r="K38" i="19" s="1"/>
  <c r="F18" i="19"/>
  <c r="F19" i="19" s="1"/>
  <c r="E92" i="38" s="1"/>
  <c r="I18" i="19"/>
  <c r="I19" i="19" s="1"/>
  <c r="H92" i="38" s="1"/>
  <c r="L27" i="19"/>
  <c r="L28" i="19" s="1"/>
  <c r="E27" i="19"/>
  <c r="E28" i="19" s="1"/>
  <c r="K27" i="19"/>
  <c r="K28" i="19" s="1"/>
  <c r="C18" i="19"/>
  <c r="C19" i="19" s="1"/>
  <c r="B92" i="38" s="1"/>
  <c r="L18" i="19"/>
  <c r="L19" i="19" s="1"/>
  <c r="K92" i="38" s="1"/>
  <c r="G37" i="19"/>
  <c r="G38" i="19" s="1"/>
  <c r="F27" i="19"/>
  <c r="F28" i="19" s="1"/>
  <c r="G18" i="19"/>
  <c r="G19" i="19" s="1"/>
  <c r="F92" i="38" s="1"/>
  <c r="J18" i="19"/>
  <c r="J19" i="19" s="1"/>
  <c r="I92" i="38" s="1"/>
  <c r="C27" i="19"/>
  <c r="C28" i="19" s="1"/>
  <c r="B33" i="19"/>
  <c r="H37" i="19"/>
  <c r="H38" i="19" s="1"/>
  <c r="G27" i="19"/>
  <c r="G28" i="19" s="1"/>
  <c r="D27" i="19"/>
  <c r="D28" i="19" s="1"/>
  <c r="E18" i="19"/>
  <c r="E19" i="19" s="1"/>
  <c r="D92" i="38" s="1"/>
  <c r="E37" i="19"/>
  <c r="E38" i="19" s="1"/>
  <c r="J27" i="19"/>
  <c r="J28" i="19" s="1"/>
  <c r="H18" i="19"/>
  <c r="H19" i="19" s="1"/>
  <c r="G92" i="38" s="1"/>
  <c r="F37" i="19"/>
  <c r="F38" i="19" s="1"/>
  <c r="C85" i="38"/>
  <c r="D5" i="19" s="1"/>
  <c r="C5" i="19"/>
  <c r="D85" i="38" l="1"/>
  <c r="E85" i="38" s="1"/>
  <c r="F85" i="38" s="1"/>
  <c r="C17" i="19"/>
  <c r="C36" i="19"/>
  <c r="C39" i="19" s="1"/>
  <c r="C26" i="19"/>
  <c r="C29" i="19" s="1"/>
  <c r="D25" i="19" s="1"/>
  <c r="F5" i="19" l="1"/>
  <c r="E5" i="19"/>
  <c r="C20" i="19"/>
  <c r="D16" i="19" s="1"/>
  <c r="D17" i="19" s="1"/>
  <c r="B93" i="38"/>
  <c r="G85" i="38"/>
  <c r="G5" i="19"/>
  <c r="D26" i="19"/>
  <c r="D29" i="19" s="1"/>
  <c r="E25" i="19" s="1"/>
  <c r="D35" i="19"/>
  <c r="B69" i="16"/>
  <c r="B70" i="16" s="1"/>
  <c r="B71" i="16" s="1"/>
  <c r="B26" i="15"/>
  <c r="B27" i="15" s="1"/>
  <c r="B21" i="15" l="1"/>
  <c r="B22" i="15" s="1"/>
  <c r="B59" i="16"/>
  <c r="B60" i="16" s="1"/>
  <c r="B61" i="16" s="1"/>
  <c r="D20" i="19"/>
  <c r="C59" i="16" s="1"/>
  <c r="C93" i="38"/>
  <c r="E26" i="19"/>
  <c r="E29" i="19" s="1"/>
  <c r="F25" i="19" s="1"/>
  <c r="H5" i="19"/>
  <c r="H85" i="38"/>
  <c r="D36" i="19"/>
  <c r="D39" i="19" s="1"/>
  <c r="C21" i="15" l="1"/>
  <c r="C22" i="15" s="1"/>
  <c r="B94" i="38"/>
  <c r="B21" i="16" s="1"/>
  <c r="E16" i="19"/>
  <c r="E17" i="19" s="1"/>
  <c r="F26" i="19"/>
  <c r="F29" i="19" s="1"/>
  <c r="G25" i="19" s="1"/>
  <c r="C94" i="38"/>
  <c r="C21" i="16" s="1"/>
  <c r="C60" i="16"/>
  <c r="C61" i="16" s="1"/>
  <c r="I85" i="38"/>
  <c r="I5" i="19"/>
  <c r="C69" i="16"/>
  <c r="C70" i="16" s="1"/>
  <c r="C71" i="16" s="1"/>
  <c r="C26" i="15"/>
  <c r="C27" i="15" s="1"/>
  <c r="E35" i="19"/>
  <c r="E20" i="19" l="1"/>
  <c r="F16" i="19" s="1"/>
  <c r="D93" i="38"/>
  <c r="G26" i="19"/>
  <c r="G29" i="19" s="1"/>
  <c r="H25" i="19" s="1"/>
  <c r="J85" i="38"/>
  <c r="J5" i="19"/>
  <c r="E36" i="19"/>
  <c r="E39" i="19" s="1"/>
  <c r="F35" i="19" s="1"/>
  <c r="D59" i="16" l="1"/>
  <c r="D60" i="16" s="1"/>
  <c r="D61" i="16" s="1"/>
  <c r="D21" i="15"/>
  <c r="D22" i="15" s="1"/>
  <c r="H26" i="19"/>
  <c r="H29" i="19" s="1"/>
  <c r="I25" i="19" s="1"/>
  <c r="F36" i="19"/>
  <c r="F39" i="19" s="1"/>
  <c r="D26" i="15"/>
  <c r="D27" i="15" s="1"/>
  <c r="D69" i="16"/>
  <c r="D70" i="16" s="1"/>
  <c r="D71" i="16" s="1"/>
  <c r="K85" i="38"/>
  <c r="L5" i="19" s="1"/>
  <c r="K5" i="19"/>
  <c r="F17" i="19"/>
  <c r="D94" i="38" l="1"/>
  <c r="D21" i="16" s="1"/>
  <c r="F20" i="19"/>
  <c r="G16" i="19" s="1"/>
  <c r="G17" i="19" s="1"/>
  <c r="E93" i="38"/>
  <c r="I26" i="19"/>
  <c r="I29" i="19" s="1"/>
  <c r="J25" i="19" s="1"/>
  <c r="E26" i="15"/>
  <c r="E27" i="15" s="1"/>
  <c r="E69" i="16"/>
  <c r="E70" i="16" s="1"/>
  <c r="E71" i="16" s="1"/>
  <c r="G35" i="19"/>
  <c r="E59" i="16" l="1"/>
  <c r="E60" i="16" s="1"/>
  <c r="E61" i="16" s="1"/>
  <c r="E21" i="15"/>
  <c r="E22" i="15" s="1"/>
  <c r="G20" i="19"/>
  <c r="H16" i="19" s="1"/>
  <c r="H17" i="19" s="1"/>
  <c r="F93" i="38"/>
  <c r="J26" i="19"/>
  <c r="J29" i="19" s="1"/>
  <c r="K25" i="19" s="1"/>
  <c r="G36" i="19"/>
  <c r="G39" i="19" s="1"/>
  <c r="F21" i="15" l="1"/>
  <c r="F22" i="15" s="1"/>
  <c r="F59" i="16"/>
  <c r="F60" i="16" s="1"/>
  <c r="F61" i="16" s="1"/>
  <c r="E94" i="38"/>
  <c r="E21" i="16" s="1"/>
  <c r="H20" i="19"/>
  <c r="G59" i="16" s="1"/>
  <c r="G94" i="38" s="1"/>
  <c r="G21" i="16" s="1"/>
  <c r="G93" i="38"/>
  <c r="K26" i="19"/>
  <c r="K29" i="19" s="1"/>
  <c r="L25" i="19" s="1"/>
  <c r="L26" i="19" s="1"/>
  <c r="L29" i="19" s="1"/>
  <c r="F69" i="16"/>
  <c r="F70" i="16" s="1"/>
  <c r="F71" i="16" s="1"/>
  <c r="F26" i="15"/>
  <c r="F27" i="15" s="1"/>
  <c r="H35" i="19"/>
  <c r="F94" i="38" l="1"/>
  <c r="F21" i="16" s="1"/>
  <c r="G60" i="16"/>
  <c r="G61" i="16" s="1"/>
  <c r="I16" i="19"/>
  <c r="I17" i="19" s="1"/>
  <c r="H36" i="19"/>
  <c r="H39" i="19" s="1"/>
  <c r="G69" i="16" s="1"/>
  <c r="G70" i="16" s="1"/>
  <c r="G71" i="16" s="1"/>
  <c r="I20" i="19" l="1"/>
  <c r="H59" i="16" s="1"/>
  <c r="H60" i="16" s="1"/>
  <c r="H61" i="16" s="1"/>
  <c r="H93" i="38"/>
  <c r="I35" i="19"/>
  <c r="I36" i="19" s="1"/>
  <c r="I39" i="19" s="1"/>
  <c r="H69" i="16" s="1"/>
  <c r="H70" i="16" s="1"/>
  <c r="H71" i="16" s="1"/>
  <c r="J16" i="19" l="1"/>
  <c r="J17" i="19" s="1"/>
  <c r="H94" i="38"/>
  <c r="H21" i="16" s="1"/>
  <c r="J35" i="19"/>
  <c r="J36" i="19" s="1"/>
  <c r="J39" i="19" s="1"/>
  <c r="I69" i="16" s="1"/>
  <c r="I70" i="16" s="1"/>
  <c r="I71" i="16" s="1"/>
  <c r="J20" i="19" l="1"/>
  <c r="I59" i="16" s="1"/>
  <c r="I60" i="16" s="1"/>
  <c r="I61" i="16" s="1"/>
  <c r="I93" i="38"/>
  <c r="K35" i="19"/>
  <c r="I94" i="38" l="1"/>
  <c r="I21" i="16" s="1"/>
  <c r="K16" i="19"/>
  <c r="K17" i="19" s="1"/>
  <c r="K36" i="19"/>
  <c r="K39" i="19" s="1"/>
  <c r="J69" i="16" s="1"/>
  <c r="J70" i="16" s="1"/>
  <c r="J71" i="16" s="1"/>
  <c r="K20" i="19" l="1"/>
  <c r="J59" i="16" s="1"/>
  <c r="J94" i="38" s="1"/>
  <c r="J21" i="16" s="1"/>
  <c r="J93" i="38"/>
  <c r="L35" i="19"/>
  <c r="L36" i="19" s="1"/>
  <c r="L39" i="19" s="1"/>
  <c r="K69" i="16" s="1"/>
  <c r="K70" i="16" s="1"/>
  <c r="K71" i="16" s="1"/>
  <c r="J60" i="16" l="1"/>
  <c r="J61" i="16" s="1"/>
  <c r="L16" i="19"/>
  <c r="L17" i="19" s="1"/>
  <c r="K93" i="38" s="1"/>
  <c r="L20" i="19" l="1"/>
  <c r="K59" i="16" s="1"/>
  <c r="K94" i="38" s="1"/>
  <c r="K21" i="16" s="1"/>
  <c r="K60" i="16" l="1"/>
  <c r="K6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Colin M Young</author>
  </authors>
  <commentList>
    <comment ref="A15" authorId="0" shapeId="0" xr:uid="{C91683ED-1916-473D-B51B-C9899954AD95}">
      <text>
        <r>
          <rPr>
            <sz val="9"/>
            <color indexed="81"/>
            <rFont val="Tahoma"/>
            <family val="2"/>
          </rPr>
          <t xml:space="preserve">MIT NEWDIGS FoCUS undertook a pipeline analysis to understand the magnitude of the financing challenge of durable cell and gene therapies in the United States (updated through December 2020).  As part of that work, the team developed estimates of the clinically-relevant* national incidence and prevalence of patients who might benefit from various product-indication launches.  </t>
        </r>
      </text>
    </comment>
    <comment ref="B23" authorId="0" shapeId="0" xr:uid="{3FC5409D-C9FB-4726-B77F-43A1C9CF59D6}">
      <text>
        <r>
          <rPr>
            <b/>
            <sz val="9"/>
            <color indexed="81"/>
            <rFont val="Tahoma"/>
            <family val="2"/>
          </rPr>
          <t xml:space="preserve">Clinically Relevant - Definition
</t>
        </r>
        <r>
          <rPr>
            <sz val="9"/>
            <color indexed="81"/>
            <rFont val="Tahoma"/>
            <family val="2"/>
          </rPr>
          <t xml:space="preserve">
The population that is eligible to receive a particular treatment from a medical perspective. The total estimated incidence and prevalence based on targeted searches of published and online literature for each disease in the US, adjusted downwards to reflect the typical clinical trial criteria for each indication. This is based on an assumption that product labels will ultimately reflect clinical trial populations.</t>
        </r>
      </text>
    </comment>
    <comment ref="B29" authorId="0" shapeId="0" xr:uid="{4F1B4E66-C7E0-453B-A5EC-BD9BDF53A9EF}">
      <text>
        <r>
          <rPr>
            <b/>
            <sz val="9"/>
            <color indexed="81"/>
            <rFont val="Tahoma"/>
            <family val="2"/>
          </rPr>
          <t xml:space="preserve">Payer Type Adjustment
</t>
        </r>
        <r>
          <rPr>
            <sz val="9"/>
            <color indexed="81"/>
            <rFont val="Tahoma"/>
            <family val="2"/>
          </rPr>
          <t xml:space="preserve">
The total US Incident and prevalent numbers developed for each indication are  based upon the demographics of the US population(General Population). The Population Estimator tool allows for further segmentation by Medicare, Medicaid or not Medicare or Medicaid as a number of indications are more common within the demographic covered by Medicare and Medicaid.  "Not Medicare or Medicaid" includes commercial plans, self-funded employer benefits, VA, Federal employees, prisoners, uninsured, Indian Health Services and all other coverage categories of lives not included in Medicare or Medicaid.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Colin M Young</author>
  </authors>
  <commentList>
    <comment ref="B20" authorId="0" shapeId="0" xr:uid="{B303857E-2C6C-4260-9FE6-B981F7D2ABFE}">
      <text>
        <r>
          <rPr>
            <b/>
            <sz val="9"/>
            <color rgb="FF000000"/>
            <rFont val="Tahoma"/>
            <family val="2"/>
          </rPr>
          <t xml:space="preserve">Market Penetration Adjustments
</t>
        </r>
        <r>
          <rPr>
            <sz val="9"/>
            <color rgb="FF000000"/>
            <rFont val="Tahoma"/>
            <family val="2"/>
          </rPr>
          <t xml:space="preserve">
</t>
        </r>
        <r>
          <rPr>
            <sz val="9"/>
            <color rgb="FF000000"/>
            <rFont val="Tahoma"/>
            <family val="2"/>
          </rPr>
          <t xml:space="preserve">Market Penetration is The percentage of individuals  likely to be treated divided by  treatment eligible individuals. Those that are clinically eligible for treatment may not be treated due to various market factors or personal choice.  In practice, the LIKELY TO BE TREATED population is expected to be smaller than the TREATABLE population. 
</t>
        </r>
        <r>
          <rPr>
            <sz val="9"/>
            <color rgb="FF000000"/>
            <rFont val="Tahoma"/>
            <family val="2"/>
          </rPr>
          <t xml:space="preserve">For diseases with severe consequences, the likely treated/treatable percentage is anticipated to be high, subject to any challenges in identifying appropriate patients. For diseases with less severe or more long-term consequences, only a small percentage of eligible patients may be treated. Using an appropriate modifier is vital for any analysis, as the full eligible population may substantially overestimate the number of patients treated. Unfortunately, market penetration is influenced by multiple factors and  there is no  simple way to anticipate  an appropriate percentage.
</t>
        </r>
        <r>
          <rPr>
            <sz val="9"/>
            <color rgb="FF000000"/>
            <rFont val="Tahoma"/>
            <family val="2"/>
          </rPr>
          <t xml:space="preserve">
</t>
        </r>
        <r>
          <rPr>
            <sz val="9"/>
            <color rgb="FF000000"/>
            <rFont val="Tahoma"/>
            <family val="2"/>
          </rPr>
          <t xml:space="preserve">The orange boxes are optional inputs allowing the user to estimate market penetration.  If no changes are made, the default penetration rate used in the model will be 100%.   </t>
        </r>
      </text>
    </comment>
    <comment ref="B52" authorId="0" shapeId="0" xr:uid="{0194D97B-19B3-4EC4-AA89-BF26D5E212F1}">
      <text>
        <r>
          <rPr>
            <b/>
            <sz val="9"/>
            <color indexed="81"/>
            <rFont val="Tahoma"/>
            <family val="2"/>
          </rPr>
          <t xml:space="preserve">Factors That Influence Market Penetration
</t>
        </r>
        <r>
          <rPr>
            <sz val="9"/>
            <color indexed="81"/>
            <rFont val="Tahoma"/>
            <family val="2"/>
          </rPr>
          <t xml:space="preserve">
Impact on life expectancy, disease severity and disease costs are key factors influencing market penetration.  These questions  are provided to support modification of incidence and prevalence for market penetration. </t>
        </r>
      </text>
    </comment>
    <comment ref="B58" authorId="0" shapeId="0" xr:uid="{5B258652-2F5C-4A4C-9D21-C50CD7242515}">
      <text>
        <r>
          <rPr>
            <b/>
            <sz val="9"/>
            <color indexed="81"/>
            <rFont val="Tahoma"/>
            <family val="2"/>
          </rPr>
          <t xml:space="preserve">Uptake/Adoption Curve
</t>
        </r>
        <r>
          <rPr>
            <sz val="9"/>
            <color indexed="81"/>
            <rFont val="Tahoma"/>
            <family val="2"/>
          </rPr>
          <t xml:space="preserve">
This section reflects speed of market uptake of the product. </t>
        </r>
      </text>
    </comment>
    <comment ref="A67" authorId="0" shapeId="0" xr:uid="{0B398104-E43C-4F2C-9D13-78030FD5B221}">
      <text>
        <r>
          <rPr>
            <b/>
            <sz val="9"/>
            <color indexed="81"/>
            <rFont val="Tahoma"/>
            <family val="2"/>
          </rPr>
          <t xml:space="preserve">Estimated Treated opulation
</t>
        </r>
        <r>
          <rPr>
            <sz val="9"/>
            <color indexed="81"/>
            <rFont val="Tahoma"/>
            <family val="2"/>
          </rPr>
          <t xml:space="preserve">
Incident and Prevalent results in this section were carried over from the Population Estimator Tool.  Any modifiers previously applied are reflected in the base incidence and prevalence rates. You may use the orange cells in this section to enter your own incidence and prevalence numbers if you are analyzing a new indication not included in the FoCUS workbook or you have more accurate plan specific data. </t>
        </r>
      </text>
    </comment>
    <comment ref="A71" authorId="0" shapeId="0" xr:uid="{67B1A7B6-FB5F-416E-888A-755A19F05DE0}">
      <text>
        <r>
          <rPr>
            <b/>
            <sz val="9"/>
            <color indexed="81"/>
            <rFont val="Tahoma"/>
            <family val="2"/>
          </rPr>
          <t xml:space="preserve">Adoption Curve Definition
</t>
        </r>
        <r>
          <rPr>
            <sz val="9"/>
            <color indexed="81"/>
            <rFont val="Tahoma"/>
            <family val="2"/>
          </rPr>
          <t xml:space="preserve">
The adoption curve reflects how quickly patients likely to be TREATED will be treated.  The default assumption is that 100% of eligible patients are treated each year. You may wish to adjust for local market conditions that may alter the speed of uptake such as payer coverage decisions, provider availability, local market access,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Colin M Young</author>
  </authors>
  <commentList>
    <comment ref="A36" authorId="0" shapeId="0" xr:uid="{D026D7AF-1562-404F-9292-38B7CC5BCB7C}">
      <text>
        <r>
          <rPr>
            <b/>
            <sz val="9"/>
            <color indexed="81"/>
            <rFont val="Tahoma"/>
            <family val="2"/>
          </rPr>
          <t xml:space="preserve">Therapy Product Cost
</t>
        </r>
        <r>
          <rPr>
            <sz val="9"/>
            <color indexed="81"/>
            <rFont val="Tahoma"/>
            <family val="2"/>
          </rPr>
          <t xml:space="preserve">
Therapy Product cost = anticipated claim cost for product; Costs used within the Pipeline Analysis model will be used if no data is entered.</t>
        </r>
      </text>
    </comment>
    <comment ref="A37" authorId="0" shapeId="0" xr:uid="{7A74521C-74F7-4DB3-B61F-FE4485148DD8}">
      <text>
        <r>
          <rPr>
            <b/>
            <sz val="9"/>
            <color indexed="81"/>
            <rFont val="Tahoma"/>
            <family val="2"/>
          </rPr>
          <t xml:space="preserve">Additional Associated Costs
</t>
        </r>
        <r>
          <rPr>
            <sz val="9"/>
            <color indexed="81"/>
            <rFont val="Tahoma"/>
            <family val="2"/>
          </rPr>
          <t xml:space="preserve">
potential costs include pre-therapy preparation and work up, post therapy care, travel costs, etc. </t>
        </r>
      </text>
    </comment>
    <comment ref="A38" authorId="0" shapeId="0" xr:uid="{B9F3F389-7331-4243-8AF9-6BD4F6DEF86A}">
      <text>
        <r>
          <rPr>
            <b/>
            <sz val="9"/>
            <color indexed="81"/>
            <rFont val="Tahoma"/>
            <family val="2"/>
          </rPr>
          <t xml:space="preserve">Contract Related Adjustments
</t>
        </r>
        <r>
          <rPr>
            <sz val="9"/>
            <color indexed="81"/>
            <rFont val="Tahoma"/>
            <family val="2"/>
          </rPr>
          <t xml:space="preserve">
Includes all contracts that may deliver cost offsets such as rebates, stop loss or reinsurance. Note -The amount expected to be paid by a stop loss or reinsurance should be entered.  </t>
        </r>
      </text>
    </comment>
    <comment ref="B49" authorId="0" shapeId="0" xr:uid="{DE5D2E1F-664F-4F62-BDCC-8C21220E0913}">
      <text>
        <r>
          <rPr>
            <b/>
            <sz val="9"/>
            <color indexed="81"/>
            <rFont val="Tahoma"/>
            <family val="2"/>
          </rPr>
          <t xml:space="preserve">Financial Risk Assessment
</t>
        </r>
        <r>
          <rPr>
            <sz val="9"/>
            <color indexed="81"/>
            <rFont val="Tahoma"/>
            <family val="2"/>
          </rPr>
          <t xml:space="preserve">
Warning:  Unless modified above, this section shows the expected cost and variability of a product in isolation.  It is important to consider both the impact of a treatment on its own and in the context of other relevant costs, such as other pre and post treatment clinical requirements. </t>
        </r>
      </text>
    </comment>
    <comment ref="A60" authorId="0" shapeId="0" xr:uid="{1BDF71E4-08DA-4292-A9CC-D2808AE774F4}">
      <text>
        <r>
          <rPr>
            <b/>
            <sz val="9"/>
            <color indexed="81"/>
            <rFont val="Tahoma"/>
            <family val="2"/>
          </rPr>
          <t xml:space="preserve">Cost of Therapy
</t>
        </r>
        <r>
          <rPr>
            <sz val="9"/>
            <color indexed="81"/>
            <rFont val="Tahoma"/>
            <family val="2"/>
          </rPr>
          <t xml:space="preserve">
Costs are held constant for the model as accurate projections of price increases is unlikely. </t>
        </r>
      </text>
    </comment>
    <comment ref="A61" authorId="0" shapeId="0" xr:uid="{9609F2E4-DC15-427F-9BFE-AA83C0F01919}">
      <text>
        <r>
          <rPr>
            <b/>
            <sz val="9"/>
            <color indexed="81"/>
            <rFont val="Tahoma"/>
            <family val="2"/>
          </rPr>
          <t>Generation of PMPM Costs</t>
        </r>
        <r>
          <rPr>
            <sz val="9"/>
            <color indexed="81"/>
            <rFont val="Tahoma"/>
            <family val="2"/>
          </rPr>
          <t xml:space="preserve">
Assumptions of cost, incidence and prevalence and ramp up of therapy use are used to generate expected and likely maximum PMPM costs.</t>
        </r>
      </text>
    </comment>
    <comment ref="A74" authorId="0" shapeId="0" xr:uid="{9D8ABA86-A4B3-4F2B-8116-3BD0AEA9DD8D}">
      <text>
        <r>
          <rPr>
            <b/>
            <sz val="9"/>
            <color indexed="81"/>
            <rFont val="Tahoma"/>
            <family val="2"/>
          </rPr>
          <t xml:space="preserve">Single Patient Impact
</t>
        </r>
        <r>
          <rPr>
            <sz val="9"/>
            <color indexed="81"/>
            <rFont val="Tahoma"/>
            <family val="2"/>
          </rPr>
          <t xml:space="preserve">
Even if you rarely expect to see a treated patient, the consequences may be severe in years that you do. This section gives you an idea of the likelihood of actually seeing a patient. Note: The probability of seeing a patient is lower than the expected incidence because you may see more than one patient in some years.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dsm</author>
  </authors>
  <commentList>
    <comment ref="A1" authorId="0" shapeId="0" xr:uid="{00000000-0006-0000-0C00-000001000000}">
      <text>
        <r>
          <rPr>
            <b/>
            <sz val="9"/>
            <color indexed="81"/>
            <rFont val="Tahoma"/>
            <family val="2"/>
          </rPr>
          <t>dsm:</t>
        </r>
        <r>
          <rPr>
            <sz val="9"/>
            <color indexed="81"/>
            <rFont val="Tahoma"/>
            <family val="2"/>
          </rPr>
          <t xml:space="preserve">
May choose to hide this sheet</t>
        </r>
      </text>
    </comment>
  </commentList>
</comments>
</file>

<file path=xl/sharedStrings.xml><?xml version="1.0" encoding="utf-8"?>
<sst xmlns="http://schemas.openxmlformats.org/spreadsheetml/2006/main" count="6265" uniqueCount="2465">
  <si>
    <t>Milestone-based contract</t>
  </si>
  <si>
    <t>Y/N</t>
  </si>
  <si>
    <t>Incidence</t>
  </si>
  <si>
    <t>Inpatient</t>
  </si>
  <si>
    <t>Managed Medicaid</t>
  </si>
  <si>
    <t>Y</t>
  </si>
  <si>
    <t>N</t>
  </si>
  <si>
    <t>Self-insured Employer</t>
  </si>
  <si>
    <t>Payer Type</t>
  </si>
  <si>
    <t>Timing within which product performance established</t>
  </si>
  <si>
    <t>&gt;1 year</t>
  </si>
  <si>
    <t>Actuarial Risk</t>
  </si>
  <si>
    <t>Payment Timing</t>
  </si>
  <si>
    <t>Performance Risk</t>
  </si>
  <si>
    <t>Performance-based Annuity</t>
  </si>
  <si>
    <t>Risk Pool</t>
  </si>
  <si>
    <t>ORBM</t>
  </si>
  <si>
    <t>Precision Financing Solutions</t>
  </si>
  <si>
    <t>Buy vs. Bill</t>
  </si>
  <si>
    <t>Patient Mobility</t>
  </si>
  <si>
    <t>Y/N Responses</t>
  </si>
  <si>
    <t>Multi-year milestone-based contract</t>
  </si>
  <si>
    <t>Execution Risk</t>
  </si>
  <si>
    <t>Type of therapy</t>
  </si>
  <si>
    <t>Term</t>
  </si>
  <si>
    <t>Payment over time/Installment financing</t>
  </si>
  <si>
    <t>Other Solution Design Considerations</t>
  </si>
  <si>
    <t>Outcomes tracking over time</t>
  </si>
  <si>
    <t>Reinsurance/stop loss coverage</t>
  </si>
  <si>
    <t>Patient financial implications</t>
  </si>
  <si>
    <t>Centers of excellence</t>
  </si>
  <si>
    <t>Provider accreditation</t>
  </si>
  <si>
    <t>&lt;=1 year</t>
  </si>
  <si>
    <t>Outpatient Physician Administered</t>
  </si>
  <si>
    <t>Solution Prioritization Tool</t>
  </si>
  <si>
    <t>Patient Estimates Tool</t>
  </si>
  <si>
    <t>Musculoskeletal</t>
  </si>
  <si>
    <t>Cardiovascular</t>
  </si>
  <si>
    <t>Term for which payer can sign contract</t>
  </si>
  <si>
    <t>X</t>
  </si>
  <si>
    <t>Commercial Insurers/ MCOs</t>
  </si>
  <si>
    <t>Timing Considerations</t>
  </si>
  <si>
    <t>Type of Risk to be Mitigated</t>
  </si>
  <si>
    <t>Perfor-mance Risk</t>
  </si>
  <si>
    <t>Price per Patient Treated</t>
  </si>
  <si>
    <t>PMPM</t>
  </si>
  <si>
    <t>Cancer, hematological</t>
  </si>
  <si>
    <t>Cancer, solid tumor</t>
  </si>
  <si>
    <t>Hematology</t>
  </si>
  <si>
    <t>Immunological</t>
  </si>
  <si>
    <t>Metabolic</t>
  </si>
  <si>
    <t>Neurological</t>
  </si>
  <si>
    <t>Ophthalmological</t>
  </si>
  <si>
    <t>Other</t>
  </si>
  <si>
    <t>Achromatopsia</t>
  </si>
  <si>
    <t>Adrenoleukodystrophy</t>
  </si>
  <si>
    <t>Dystrophy, Duchenne's muscular</t>
  </si>
  <si>
    <t>Haemophilia A</t>
  </si>
  <si>
    <t>Haemophilia B</t>
  </si>
  <si>
    <t>Leber's hereditary optic neuropathy</t>
  </si>
  <si>
    <t>Leukodystrophy, metachromatic</t>
  </si>
  <si>
    <t>Muscular atrophy, spinal</t>
  </si>
  <si>
    <t>Neuropathy, diabetic</t>
  </si>
  <si>
    <t>Ulcer, diabetic</t>
  </si>
  <si>
    <t>Indication</t>
  </si>
  <si>
    <t>Prevalence</t>
  </si>
  <si>
    <t>Year 1</t>
  </si>
  <si>
    <t>Year 2</t>
  </si>
  <si>
    <t>Year 3</t>
  </si>
  <si>
    <t>Year 4</t>
  </si>
  <si>
    <t>Year 5</t>
  </si>
  <si>
    <t>Year 6</t>
  </si>
  <si>
    <t>Year 7</t>
  </si>
  <si>
    <t>Year 8</t>
  </si>
  <si>
    <t>Year 9</t>
  </si>
  <si>
    <t>Year 10</t>
  </si>
  <si>
    <t>Therapy Characteristics</t>
  </si>
  <si>
    <t>Plan Characteristics</t>
  </si>
  <si>
    <t>Base Incidence</t>
  </si>
  <si>
    <t>Base Prevalence</t>
  </si>
  <si>
    <t>User-entered Incidence</t>
  </si>
  <si>
    <t>Patient Treatment Pattern</t>
  </si>
  <si>
    <t>Starting Prevalent Population</t>
  </si>
  <si>
    <t>Incident Population</t>
  </si>
  <si>
    <t>Patients Treated (#)</t>
  </si>
  <si>
    <t>Cost of Therapy ($millions)</t>
  </si>
  <si>
    <t>PMPM ($)</t>
  </si>
  <si>
    <t>Yes/No Responses</t>
  </si>
  <si>
    <t>Yes</t>
  </si>
  <si>
    <t>No</t>
  </si>
  <si>
    <t>Known/Estimated</t>
  </si>
  <si>
    <t>Known</t>
  </si>
  <si>
    <t>Estimated</t>
  </si>
  <si>
    <t>Expected Calculation</t>
  </si>
  <si>
    <t>95% Calculation</t>
  </si>
  <si>
    <t>95% Incident Pop</t>
  </si>
  <si>
    <t>Delta</t>
  </si>
  <si>
    <t>Cost of Treating One Patient</t>
  </si>
  <si>
    <t>95% of the Time, Outcomes will not Exceed about…</t>
  </si>
  <si>
    <t>Portfolio Context - Durable</t>
  </si>
  <si>
    <t>Portfolio Graphing Choice</t>
  </si>
  <si>
    <t>Single Patient</t>
  </si>
  <si>
    <t>None</t>
  </si>
  <si>
    <t>X Products</t>
  </si>
  <si>
    <t>FoCUS Pipeline</t>
  </si>
  <si>
    <t>Total Dollars</t>
  </si>
  <si>
    <t>Graphing Choice</t>
  </si>
  <si>
    <t>Exp Outcomes</t>
  </si>
  <si>
    <t>Reinsurance</t>
  </si>
  <si>
    <t>Annual Probability of Treating One or More Patients</t>
  </si>
  <si>
    <t xml:space="preserve">        Note: Incident population only</t>
  </si>
  <si>
    <t>Uptake Curve (Used)</t>
  </si>
  <si>
    <r>
      <rPr>
        <u/>
        <sz val="11"/>
        <color theme="1"/>
        <rFont val="Calibri"/>
        <family val="2"/>
        <scheme val="minor"/>
      </rPr>
      <t>Incident</t>
    </r>
    <r>
      <rPr>
        <sz val="11"/>
        <color theme="1"/>
        <rFont val="Calibri"/>
        <family val="2"/>
        <scheme val="minor"/>
      </rPr>
      <t xml:space="preserve"> Patients Treated, by Year</t>
    </r>
  </si>
  <si>
    <r>
      <rPr>
        <u/>
        <sz val="11"/>
        <color theme="1"/>
        <rFont val="Calibri"/>
        <family val="2"/>
        <scheme val="minor"/>
      </rPr>
      <t>Prevalent</t>
    </r>
    <r>
      <rPr>
        <sz val="11"/>
        <color theme="1"/>
        <rFont val="Calibri"/>
        <family val="2"/>
        <scheme val="minor"/>
      </rPr>
      <t xml:space="preserve"> Patients Treated, by Year</t>
    </r>
  </si>
  <si>
    <t>Untreated Patients Remaining Eligible</t>
  </si>
  <si>
    <t>Population Estimator Tool</t>
  </si>
  <si>
    <t>Total US Prevalence Estimate</t>
  </si>
  <si>
    <t>Medicare Advantage</t>
  </si>
  <si>
    <t>Medicare FFS</t>
  </si>
  <si>
    <t>Medicaid FFS</t>
  </si>
  <si>
    <t>?</t>
  </si>
  <si>
    <t>Choose among 4 by considering these 6 items</t>
  </si>
  <si>
    <t>Would your partner have a problem with MBP?</t>
  </si>
  <si>
    <t>Are you managed medicaid</t>
  </si>
  <si>
    <t>Do these 6 things apply</t>
  </si>
  <si>
    <t>Desire to chase the rebates</t>
  </si>
  <si>
    <t>If State run easier to do SPA</t>
  </si>
  <si>
    <t>Rebates vs. prospective payments</t>
  </si>
  <si>
    <t>If managed medicaid have to negotiate with KAHA like person to pull it out and contract for it directly</t>
  </si>
  <si>
    <t>Who is doing data collection</t>
  </si>
  <si>
    <t>Are there carveouts for the expensive drugs</t>
  </si>
  <si>
    <t>MBP</t>
  </si>
  <si>
    <t>If large payer reinsurance doesn't show up</t>
  </si>
  <si>
    <t>Are you concerned about predictability for your premium rates? Then actuarial risk solutions are higher priority</t>
  </si>
  <si>
    <t>Answers to these questions may change based on portfolio view</t>
  </si>
  <si>
    <t>Commercial Insurer/MCO</t>
  </si>
  <si>
    <t>Do you prefer to get rebates from a manufacturer or commit to prospective payments?</t>
  </si>
  <si>
    <t>Do you have the internal capabilities to track patients to gather outcomes data?</t>
  </si>
  <si>
    <t>(Rebates, Prospective Payments)</t>
  </si>
  <si>
    <t>Rebates</t>
  </si>
  <si>
    <t>Prospective Payments</t>
  </si>
  <si>
    <t>Rebates vs. Prospective Payments</t>
  </si>
  <si>
    <t>Would your contracting partner (e.g., the developer) be required to provide additional rebates to others under Medicaid Best Price by contracting with you?</t>
  </si>
  <si>
    <t>Payer Preferenes</t>
  </si>
  <si>
    <t>Premium predictability critical</t>
  </si>
  <si>
    <t>Rebates or Prospective Payments</t>
  </si>
  <si>
    <t>Internal capabilities to track outcomes</t>
  </si>
  <si>
    <t>Contracting Partner limited by MBP</t>
  </si>
  <si>
    <t>First Cut Solution Prioritization</t>
  </si>
  <si>
    <t>Second Cut Solution Prioritization</t>
  </si>
  <si>
    <t>Very large, Self-reinsured</t>
  </si>
  <si>
    <t>Prospective Payment</t>
  </si>
  <si>
    <t>Do you have a willingness to do contracts beyond when a member leaves?</t>
  </si>
  <si>
    <t>Do you get reimbursed via a reconciliation process or risk corridors?</t>
  </si>
  <si>
    <t>Question Set 1</t>
  </si>
  <si>
    <t>Logic Table 1</t>
  </si>
  <si>
    <t>(Answers)</t>
  </si>
  <si>
    <t>1) Blah, blah, blah</t>
  </si>
  <si>
    <t>2)</t>
  </si>
  <si>
    <t>Opt 1</t>
  </si>
  <si>
    <t>Opt 2</t>
  </si>
  <si>
    <t>Opt 3</t>
  </si>
  <si>
    <t>3)</t>
  </si>
  <si>
    <t>4)</t>
  </si>
  <si>
    <t>5)</t>
  </si>
  <si>
    <t>Answers</t>
  </si>
  <si>
    <t>&lt;-- Q1</t>
  </si>
  <si>
    <t>&lt;-- Q2</t>
  </si>
  <si>
    <t>&lt;-- Q3</t>
  </si>
  <si>
    <t>USER INPUT</t>
  </si>
  <si>
    <t>&lt;-- Q4</t>
  </si>
  <si>
    <t>&lt;-- Q5</t>
  </si>
  <si>
    <t>MET? --&gt;</t>
  </si>
  <si>
    <t>Question Set 2</t>
  </si>
  <si>
    <t>--&gt;</t>
  </si>
  <si>
    <t>ANSWERS ARE NUMERIC EQUIV OF INPUT.</t>
  </si>
  <si>
    <t>LOGIC TABLE DETERMINES IF RELEVANT CONDITIONS MET.</t>
  </si>
  <si>
    <t>QUESTIONS 6-8 APPEAR BASED ON WHETHER OPT 1-3 ARE TRUE</t>
  </si>
  <si>
    <t>Opt 4</t>
  </si>
  <si>
    <t>Opt 5</t>
  </si>
  <si>
    <t>Opt 6</t>
  </si>
  <si>
    <t>Logic Table 2</t>
  </si>
  <si>
    <t>Output Options</t>
  </si>
  <si>
    <t>&lt;--Opt 1 from above</t>
  </si>
  <si>
    <t>&lt;--Opt 2 from above</t>
  </si>
  <si>
    <t>&lt;--Opt 3 from above</t>
  </si>
  <si>
    <t>&lt;-- Q6</t>
  </si>
  <si>
    <t>&lt;-- Q7</t>
  </si>
  <si>
    <t>OUTPUTS APPEAR BASED ON WHETHER OPT 4-6 ARE TRUE</t>
  </si>
  <si>
    <t>&lt;-- Q8</t>
  </si>
  <si>
    <t>MET--&gt;</t>
  </si>
  <si>
    <t>Reinsurance/Stop Loss Insurance</t>
  </si>
  <si>
    <t>Payment Timing Risk</t>
  </si>
  <si>
    <t>(Y/N)</t>
  </si>
  <si>
    <t>Would this financial impact only be an issue in early years (surge effect due to prevalent disease frequency)?</t>
  </si>
  <si>
    <t>Not</t>
  </si>
  <si>
    <t>Therapeutic Class</t>
  </si>
  <si>
    <t>Cancer, solid, unspecified</t>
  </si>
  <si>
    <t>Angina, pectoris</t>
  </si>
  <si>
    <t>Anaemia, aplastic, Fanconi's</t>
  </si>
  <si>
    <t>Arthritis, psoriatic</t>
  </si>
  <si>
    <t>Aromatic L-amino acid decarboxylase deficiency</t>
  </si>
  <si>
    <t>Arthritis, osteo</t>
  </si>
  <si>
    <t>Alpha-1 antitrypsin deficiency</t>
  </si>
  <si>
    <t>Cancer, neoplasms</t>
  </si>
  <si>
    <t>Chronic granulomatous disease</t>
  </si>
  <si>
    <t>Crigler-Najjar syndrome</t>
  </si>
  <si>
    <t>Arthritis, rheumatoid</t>
  </si>
  <si>
    <t>Alzheimer's disease</t>
  </si>
  <si>
    <t>Choroideremia</t>
  </si>
  <si>
    <t>Cancer, leukaemia, acute lymphocytic</t>
  </si>
  <si>
    <t>Cancer, brain</t>
  </si>
  <si>
    <t>Leukocyte adhesion deficiency</t>
  </si>
  <si>
    <t>Diabetes, Type 1</t>
  </si>
  <si>
    <t>Amyotrophic lateral sclerosis</t>
  </si>
  <si>
    <t>Leber's congenital amaurosis</t>
  </si>
  <si>
    <t>Epidermolysis bullosa, dystrophic, recessive</t>
  </si>
  <si>
    <t>Cancer, leukaemia, acute myelogenous</t>
  </si>
  <si>
    <t>Cancer, CNS</t>
  </si>
  <si>
    <t>Heart failure</t>
  </si>
  <si>
    <t>Thalassaemia, Beta</t>
  </si>
  <si>
    <t>SCID, ADA</t>
  </si>
  <si>
    <t>Fabry's disease</t>
  </si>
  <si>
    <t>Dystrophy, limb-girdle muscular</t>
  </si>
  <si>
    <t>Batten's disease</t>
  </si>
  <si>
    <t>Hearing loss</t>
  </si>
  <si>
    <t>Cancer, leukaemia, chronic lymphocytic</t>
  </si>
  <si>
    <t>Cancer, glioblastoma</t>
  </si>
  <si>
    <t>Homozygous familial hypercholesterolaemia</t>
  </si>
  <si>
    <t>SCID, artemis</t>
  </si>
  <si>
    <t>Gaucher's disease</t>
  </si>
  <si>
    <t>Myotubular myopathy, x-linked</t>
  </si>
  <si>
    <t>Macular degeneration, age-related, dry</t>
  </si>
  <si>
    <t>Cancer, leukaemia, chronic myelogenous</t>
  </si>
  <si>
    <t>Cancer, glioma</t>
  </si>
  <si>
    <t>Hypertension, pulmonary</t>
  </si>
  <si>
    <t>SCID, x-linked</t>
  </si>
  <si>
    <t>Glycogen storage disease, Type I</t>
  </si>
  <si>
    <t>Macular degeneration, age-related, wet</t>
  </si>
  <si>
    <t>Cancer, neuroblastoma</t>
  </si>
  <si>
    <t>Infarction, myocardial</t>
  </si>
  <si>
    <t>Scleroderma</t>
  </si>
  <si>
    <t>Glycogen storage disease, Type II</t>
  </si>
  <si>
    <t>Netherton's syndrome</t>
  </si>
  <si>
    <t>Cancer, lymphoma, Hodgkin's</t>
  </si>
  <si>
    <t>Cancer, breast</t>
  </si>
  <si>
    <t>Neuromyelitis Optica</t>
  </si>
  <si>
    <t>Retinitis pigmentosa</t>
  </si>
  <si>
    <t>Cancer, ovarian</t>
  </si>
  <si>
    <t>Mucopolysaccharidosis, Type I</t>
  </si>
  <si>
    <t>Retinitis pigmentosa, x-linked</t>
  </si>
  <si>
    <t>Overactive bladder</t>
  </si>
  <si>
    <t>Cancer, lymphoma, B-cell</t>
  </si>
  <si>
    <t>Cancer, fallopian tube</t>
  </si>
  <si>
    <t>Peripheral vascular disease</t>
  </si>
  <si>
    <t>Mucopolysaccharidosis, Type II</t>
  </si>
  <si>
    <t>Parkinson's disease</t>
  </si>
  <si>
    <t>Retinoschisis, x-linked</t>
  </si>
  <si>
    <t>Cancer, lymphoma, B-cell, diffuse large</t>
  </si>
  <si>
    <t>Cancer, peritoneal</t>
  </si>
  <si>
    <t>Mucopolysaccharidosis, Type IIIA</t>
  </si>
  <si>
    <t>Cancer, lymphoma, Burkitt</t>
  </si>
  <si>
    <t>Cancer, cervical</t>
  </si>
  <si>
    <t>Mucopolysaccharidosis, Type IIIB</t>
  </si>
  <si>
    <t>Cancer, lymphoma, follicular</t>
  </si>
  <si>
    <t>Mucopolysaccharidosis, Type VI</t>
  </si>
  <si>
    <t>Cancer, lymphoma, mantle cell</t>
  </si>
  <si>
    <t>Cancer, gastrointestinal</t>
  </si>
  <si>
    <t>Ornithine transcarbamylase deficiency</t>
  </si>
  <si>
    <t>Wiskott-Aldrich syndrome</t>
  </si>
  <si>
    <t>Cancer, BPDCN</t>
  </si>
  <si>
    <t>Cancer, oesophageal</t>
  </si>
  <si>
    <t>Wound healing</t>
  </si>
  <si>
    <t>Cancer, leukaemia, T-cell</t>
  </si>
  <si>
    <t>Cancer, stomach</t>
  </si>
  <si>
    <t>Cancer, lymphoma, T-cell</t>
  </si>
  <si>
    <t>Cancer, colorectal</t>
  </si>
  <si>
    <t>Cancer, myeloma</t>
  </si>
  <si>
    <t>Cancer, anal</t>
  </si>
  <si>
    <t>Myelodysplastic syndrome</t>
  </si>
  <si>
    <t>Cancer, head and neck</t>
  </si>
  <si>
    <t>Cancer, nasopharyngeal</t>
  </si>
  <si>
    <t>Cancer, thyroid</t>
  </si>
  <si>
    <t>Cancer, lung, unspecified</t>
  </si>
  <si>
    <t>Cancer, lung, non-small cell</t>
  </si>
  <si>
    <t>Cancer, mesothelioma</t>
  </si>
  <si>
    <t>Malignant pleural effusion</t>
  </si>
  <si>
    <t>Cancer, melanoma</t>
  </si>
  <si>
    <t>Cancer, Merkel cell</t>
  </si>
  <si>
    <t>Cancer, liver</t>
  </si>
  <si>
    <t>Cancer, pancreatic</t>
  </si>
  <si>
    <t>Cancer, renal</t>
  </si>
  <si>
    <t>Cancer, prostate</t>
  </si>
  <si>
    <t>Cancer, bladder</t>
  </si>
  <si>
    <t>Cancer, sarcoma, unspecified</t>
  </si>
  <si>
    <t>Cancer, rhabdomyosarcoma</t>
  </si>
  <si>
    <t>Cancer, sarcoma, lipo</t>
  </si>
  <si>
    <t>Cancer, sarcoma, synovial</t>
  </si>
  <si>
    <t>Discriminators</t>
  </si>
  <si>
    <t>Items used in calculation</t>
  </si>
  <si>
    <t>for Selected</t>
  </si>
  <si>
    <t>of the Drop down menus</t>
  </si>
  <si>
    <t>Disease</t>
  </si>
  <si>
    <t>All</t>
  </si>
  <si>
    <t>'Therapeutic Classes - Diseases'!</t>
  </si>
  <si>
    <t>'Disease - complete'!</t>
  </si>
  <si>
    <t>'Calculation'!</t>
  </si>
  <si>
    <t>Disease and Discriminator</t>
  </si>
  <si>
    <t>Discriminator</t>
  </si>
  <si>
    <t>Type</t>
  </si>
  <si>
    <t/>
  </si>
  <si>
    <t>Menus --&gt;</t>
  </si>
  <si>
    <t>Users are advised to perform more detailed modeling on your own as appropriate. Assumptions used herein may not reflect your particular circumstances. Please check any user-entered information for accuracy.</t>
  </si>
  <si>
    <t>Therapy Impact Modeling Tool</t>
  </si>
  <si>
    <t>Will a performance guarantee be desired to provide/secure therapy access?</t>
  </si>
  <si>
    <t>Your Plan Size (# of members)</t>
  </si>
  <si>
    <t>The Solution Prioritization Tool will also point you to other solution design considerations you may wish to consider in building a full solution for providing patient access to the selected therapy.</t>
  </si>
  <si>
    <t>If your organization is unlikely to treat patients (95% of outcomes have no treated patients), would treating one patient cause significant financial impact if it occurs?</t>
  </si>
  <si>
    <t>First Menu Choice</t>
  </si>
  <si>
    <t>Options for Menu 3</t>
  </si>
  <si>
    <t>Formula for Menu 3</t>
  </si>
  <si>
    <r>
      <t xml:space="preserve">Plan(s) size   </t>
    </r>
    <r>
      <rPr>
        <i/>
        <sz val="9"/>
        <color theme="1"/>
        <rFont val="Calibri"/>
        <family val="2"/>
        <scheme val="minor"/>
      </rPr>
      <t>(From Population Estimator Tool)</t>
    </r>
  </si>
  <si>
    <r>
      <t xml:space="preserve">Indication   </t>
    </r>
    <r>
      <rPr>
        <i/>
        <sz val="9"/>
        <color theme="1"/>
        <rFont val="Calibri"/>
        <family val="2"/>
        <scheme val="minor"/>
      </rPr>
      <t>(From Population Estimator Tool)</t>
    </r>
  </si>
  <si>
    <t>Therapeutic 
class</t>
  </si>
  <si>
    <t>Sub population</t>
  </si>
  <si>
    <t>Does your organization have significant actuarial risk for the therapy that is not managed through your existing mechanisms (risk premium, stop loss, reinsurance, risk pooling, etc.)?</t>
  </si>
  <si>
    <t>It asks you to consider the expected financial therapy impact as detailed in the Therapy Impact Modeling Tool and your organization’s preferences and assesses the implications for your organization.</t>
  </si>
  <si>
    <t>Provider certification and/or centers of excellence</t>
  </si>
  <si>
    <t>Out of state networks</t>
  </si>
  <si>
    <t>Provider financial implications</t>
  </si>
  <si>
    <t>State plan amendments</t>
  </si>
  <si>
    <t>Given the costs/PMPM, would the financial impact be higher than your organization can absorb in any year if the high (95%) outcome occurs?</t>
  </si>
  <si>
    <t>Incidence
Modifier</t>
  </si>
  <si>
    <t>Prevalence
Modifier</t>
  </si>
  <si>
    <t>Orphan Reinsurer and Benefit Manager (ORBM)</t>
  </si>
  <si>
    <t>Overview</t>
  </si>
  <si>
    <t xml:space="preserve">Users are advised to perform more detailed modeling on your own as appropriate. Assumptions used herein </t>
  </si>
  <si>
    <t>may not reflect your particular circumstances. Please check any user-entered information for accuracy.</t>
  </si>
  <si>
    <t>Terms and conditions</t>
  </si>
  <si>
    <t>Acceptance of the Terms of Use</t>
  </si>
  <si>
    <t>Changes to the Terms of Use</t>
  </si>
  <si>
    <t>Accessing this Site</t>
  </si>
  <si>
    <t>4. You are responsible for making all arrangements necessary for you to have access to the Site.</t>
  </si>
  <si>
    <t>Prohibited Uses</t>
  </si>
  <si>
    <t>1. You may use the Site only for lawful purposes and in accordance with these Terms of Use. You agree not to use the Site or the Content:</t>
  </si>
  <si>
    <t>2. In any way that violates any applicable federal, state, local and international law or regulation; and</t>
  </si>
  <si>
    <t>2. Additionally, you agree not to:</t>
  </si>
  <si>
    <t>1. Use any robot, spider or other automatic device, process or means to access the Site for any purpose, including to monitor or impermissibly copy any of the material on the Site;</t>
  </si>
  <si>
    <t>2. Use any manual process to monitor or impermissibly copy any of the material on the Site or for any other unauthorized purpose without the prior written consent of MIT;</t>
  </si>
  <si>
    <t>3. Introduce any viruses, Trojan horses, worms, logic bombs or other material which is malicious or technologically harmful;</t>
  </si>
  <si>
    <t>5. Attack the Site via a denial-of-service attack or a distributed denial-of-service attack; or</t>
  </si>
  <si>
    <t>6. Access or search or attempt to access or search the Site by any means (automated or otherwise) other than through our currently available, published interfaces provided by MIT; or</t>
  </si>
  <si>
    <t>7. Otherwise attempt to interfere with the proper working of the Site.</t>
  </si>
  <si>
    <t>Intellectual Property Rights</t>
  </si>
  <si>
    <t>4. You must not:</t>
  </si>
  <si>
    <t>1. Modify copies of any Content, except as expressly authorized by MIT on the Site;</t>
  </si>
  <si>
    <t>2. Use any illustrations, photographs, video or audio sequences or any graphics separately from the accompanying text; or</t>
  </si>
  <si>
    <t>3. Delete or alter any copyright, trademark or other proprietary rights notices from any Content.</t>
  </si>
  <si>
    <t>Disclaimer of Warranties</t>
  </si>
  <si>
    <t>2. THE FOREGOING DOES NOT AFFECT ANY WARRANTIES WHICH CANNOT BE EXCLUDED OR LIMITED UNDER APPLICABLE LAW.</t>
  </si>
  <si>
    <t>Limitation on Liability</t>
  </si>
  <si>
    <t>2. THE FOREGOING DOES NOT AFFECT ANY LIABILITY WHICH CANNOT BE EXCLUDED OR LIMITED UNDER APPLICABLE LAW.</t>
  </si>
  <si>
    <t>Indemnification</t>
  </si>
  <si>
    <t>Monitoring and Enforcement</t>
  </si>
  <si>
    <t>Site Assistance</t>
  </si>
  <si>
    <t>Links from the Site</t>
  </si>
  <si>
    <t>Geographic Restrictions</t>
  </si>
  <si>
    <t>Dispute Resolution By Arbitration</t>
  </si>
  <si>
    <t>Governing Law</t>
  </si>
  <si>
    <t>Limitation on Time to File Claims</t>
  </si>
  <si>
    <t>Waiver and Severability</t>
  </si>
  <si>
    <t>Comments and Concerns</t>
  </si>
  <si>
    <t>Thank you for visiting our Site.</t>
  </si>
  <si>
    <t>PLEASE READ THESE TERMS OF USE BEFORE USING THESE MATERIALS.</t>
  </si>
  <si>
    <t xml:space="preserve">Welcome to the website and materials of the Financing and reimbursement of Cures in the US (“FoCUS”) Project, a part of the </t>
  </si>
  <si>
    <t xml:space="preserve">New Drug Development Paradigms Initiative (“NEWDIGS”) within the Center for Biomedical Innovation (“CBI”) at the Massachusetts Institute </t>
  </si>
  <si>
    <t>If you do not agree to these Terms of Use, you should not visit the Site or use these materials.</t>
  </si>
  <si>
    <t>MIT reserves the right to change these Terms of Use at any time in its sole discretion by posting revisions on the Site. Such revisions will be effective</t>
  </si>
  <si>
    <t>immediately upon posting them to the Site. Your use of the Site or materials after such changes have been posted shall constitute your acceptance of the revised Terms of Use.</t>
  </si>
  <si>
    <t>1. By using this Site or materials, you represent and warrant that you are 13 years or older. If you are under the age of 13 years, you agree not to visit the Site or use these materials.</t>
  </si>
  <si>
    <t xml:space="preserve">2. MIT reserves the right to change or update the Site, and any information, service, tool, model, material, features and functionality (including but not limited to all software, text, </t>
  </si>
  <si>
    <t xml:space="preserve">displays, downloadable spreadsheets, images, video and audio, and the design, selection and arrangement thereof) or other content we provide on the Site (collectively, “Content”), </t>
  </si>
  <si>
    <t>in our sole discretion and without notice. However, MIT is under no obligation to update or correct any Content.</t>
  </si>
  <si>
    <t xml:space="preserve">3. MIT will not be responsible or liable if for any reason all or any part of the Site is unavailable at any time or for any period. MIT may suspend access to the entire Site, </t>
  </si>
  <si>
    <t>or some parts of the Site, or close it indefinitely, in MIT’s discretion.</t>
  </si>
  <si>
    <t xml:space="preserve">1. For commercial purposes, including that you may not reproduce, sell or exploit for any commercial purposes any part of the Site, access to the Site, use of the Site or any </t>
  </si>
  <si>
    <t>Content available through the Site;</t>
  </si>
  <si>
    <t xml:space="preserve">of Technology (the “Site”).  These Terms of Use govern your use of the Site and the materials found on the Site, including but not limited to this workbook. </t>
  </si>
  <si>
    <t xml:space="preserve">Please read these Terms of Use carefully before you start to use the Site and these materials. By using the Site and materials, you hereby accept these Terms of Use. </t>
  </si>
  <si>
    <t xml:space="preserve">5. You are responsible for ensuring that all persons who access the Site through your Internet connection or utilize the materials gained through your internet connection are </t>
  </si>
  <si>
    <t>aware of these Terms of Use, and that they comply with them.</t>
  </si>
  <si>
    <t xml:space="preserve">3. To engage in any other conduct that restricts or inhibits anyone’s use or enjoyment of the Site, or which, as determined by MIT, may harm MIT, CBI or users of the Site or </t>
  </si>
  <si>
    <t>expose them to liability (for example, in a manner that that could disable, overburden, damage, or impair the Site).</t>
  </si>
  <si>
    <t xml:space="preserve">4. Attempt to gain unauthorized access to, interfere with, damage or disrupt any part of the Site, the server on which any part of the Site is stored or any server, computer </t>
  </si>
  <si>
    <t>or database connected to the Site;</t>
  </si>
  <si>
    <t xml:space="preserve">1. The Site and all Content and all intellectual property rights therein are owned by MIT, its licensors or other providers. You must not use the name “Massachusetts Institute of Technology” </t>
  </si>
  <si>
    <t xml:space="preserve">or “Center for Biomedical Innovation” or any variation, adaptation, or abbreviation thereof, or of any of MIT’s trustees, officers, faculty, students, employees, or agents, or any trademark </t>
  </si>
  <si>
    <t>owned by MIT (which includes the MIT and CBI logos) without the prior written permission of MIT. All other trademarks appearing on the Site are the property of their respective owners.</t>
  </si>
  <si>
    <t xml:space="preserve">2. Some of the Content on the Site is not available for downloading, such as our copyrighted works that we do not distribute or works of others that we are not permitted to distribute. </t>
  </si>
  <si>
    <t>Selected content may be downloaded by you pursuant to these Terms of Use (“Available Content”) where expressly indicated. Users are granted a limited, revocable, nonexclusive,</t>
  </si>
  <si>
    <t xml:space="preserve"> nontransferable license to use Available Content conditioned on your continued compliance with these Terms of Use. YOU MAY REVIEW, DOWNLOAD, COPY, DISTRIBUTE </t>
  </si>
  <si>
    <t xml:space="preserve">AND USE THE AVAILABLE CONTENT SOLELY FOR THE PURPOSE OF GENERAL INFORMATION GATHERING AND/OR RESEARCH PURPOSES , PROVIDED THAT YOU </t>
  </si>
  <si>
    <t xml:space="preserve">3. If and to the extent you provide any feedback, suggestions, recommendations, analysis or other information or data to MIT or CBI in connection with your use of the Site or the Content (“Feedback”), </t>
  </si>
  <si>
    <t>you hereby permit MIT to use, reproduce, disclose, distribute, modify, and prepare derivative works of such Feedback for any purpose whatsoever in perpetuity.</t>
  </si>
  <si>
    <t xml:space="preserve">5. No right, title or interest in or to the Site or any Content is transferred to you, and all rights not expressly granted are reserved by MIT. Any use of the Site not expressly permitted by these </t>
  </si>
  <si>
    <t>Terms of Use is a breach of these Terms of Use and may violate copyright, trademark and other laws.</t>
  </si>
  <si>
    <t xml:space="preserve">1. The Site and the Content is made available solely for general informational purposes. THE SITE, THE CONTENT AND ANY INFORMATION OBTAINED THROUGH USE OF THE SITE </t>
  </si>
  <si>
    <t xml:space="preserve">1. MIT does not guarantee or warrant that files available for downloading from the Internet or the Site will be free of viruses or other destructive code. NEITHER MIT NOR ANY PERSON ASSOCIATED </t>
  </si>
  <si>
    <t xml:space="preserve">WITH MIT OR CBI MAKES ANY WARRANTY OR REPRESENTATION WITH RESPECT TO THE SECURITY, RELIABILITY, QUALITY, OR AVAILABILITY OF THE SITE AND THE CONTENT. MIT </t>
  </si>
  <si>
    <t xml:space="preserve">WILL NOT BE LIABLE FOR ANY LOSS OR DAMAGE CAUSED BY A DISTRIBUTED DENIAL-OF-SERVICE ATTACK, VIRUSES OR OTHER TECHNOLOGICALLY HARMFUL MATERIAL THAT MAY </t>
  </si>
  <si>
    <t xml:space="preserve">INFECT YOUR COMPUTER EQUIPMENT, COMPUTER PROGRAMS, DATA OR OTHER PROPRIETARY MATERIAL DUE TO YOUR USE OF THE SITE, THE CONTENT, YOUR DOWNLOADING </t>
  </si>
  <si>
    <t>OF ANY AVAILABLE CONTENT, OR YOUR USE OF ANY WEBSITE LINKED TO THE SITE.</t>
  </si>
  <si>
    <t>1. IN NO EVENT WILL MIT, ITSTRUSTEES, DIRECTORS, OFFICERS, FACULTY, STUDENTS, EMPLOYEES, AGENTS, AFFILIATES AND THEIR RESPECTIVE SUCCESSORS, HEIRS AND</t>
  </si>
  <si>
    <t xml:space="preserve"> ASSIGNS BE LIABLE FOR DAMAGES OF ANY KIND, UNDER ANY LEGAL THEORY, ARISING OUT OF OR IN CONNECTION WITH YOUR USE, OR INABILITY TO USE, THE SITE, THE CONTENT, </t>
  </si>
  <si>
    <t xml:space="preserve">ANY WEBSITES LINKED TO THE SITE OR CONTENT OR ANY INFORMATION OBTAINED THROUGH THE SITE, CONTENT OR SUCH THIRD PARTY WEBSITES, INCLUDING ANY DIRECT, INDIRECT, </t>
  </si>
  <si>
    <t xml:space="preserve">SPECIAL, INCIDENTAL, CONSEQUENTIAL OR PUNITIVE DAMAGES, WHICH MAY INCLUDE  BUT NOT BE LIMITED TO, PERSONAL INJURY, LOST PROFITS, LOSS OF BUSINESS OR ANTICIPATED </t>
  </si>
  <si>
    <t>SAVINGS, LOSS OF GOODWILL, LOSS OF DATA, AND WHETHER CAUSED BY TORT (INCLUDING NEGLIGENCE), BREACH OF CONTRACT OR OTHERWISE, EVEN IF FORSEEABLE.</t>
  </si>
  <si>
    <t xml:space="preserve">To the fullest extent permitted by law, you shall indemnify MIT and all of its trustees, directors, officers, faculty, students, employees, agents, affiliates and their respective </t>
  </si>
  <si>
    <t>successors, heirs and assigns (collectively, the “Indemnified Parties”) from and against any and all losses and liabilities, including, without limitation, reasonable</t>
  </si>
  <si>
    <t xml:space="preserve"> attorneys’ fees incurred by the Indemnified Parties in connection with any claim arising from or related to your breach of these Terms of Use, your use of the Site and the </t>
  </si>
  <si>
    <t>Content and your use of any information obtained through use of the Site and Content. You shall cooperate as fully as reasonably required in the defense of any such claim.</t>
  </si>
  <si>
    <t xml:space="preserve">MIT has the right to: (a) take appropriate legal action, including without limitation, referral to law enforcement, for any illegal or unauthorized use of the Site and </t>
  </si>
  <si>
    <t>(b) terminate your access to all or part of the Site for any or no reason, including without limitation any violation of these Terms of Use.</t>
  </si>
  <si>
    <t xml:space="preserve">You understand that MIT does not provide customer assistance or technical support for use of the Site. You may contact us concerning technical problems but MIT is </t>
  </si>
  <si>
    <t>under no obligation to fix or correct any technical issue.</t>
  </si>
  <si>
    <t xml:space="preserve">If the Site contains links to other websites and resources provided by or hosted by third parties, these links are provided for your convenience only. MIT has no control </t>
  </si>
  <si>
    <t xml:space="preserve">over the contents of those websites or resources and accepts no responsibility for them or for any loss or damage that may arise from your use of them. If you </t>
  </si>
  <si>
    <t>decide to access any of the third party websites linked to the Site, you do so entirely at your own risk and subject to the terms and conditions of use for such websites.</t>
  </si>
  <si>
    <t xml:space="preserve">The Site is operated by MIT from Cambridge, Massachusetts in the United States of America. Content is not intended for distribution to, or use by, any person or </t>
  </si>
  <si>
    <t xml:space="preserve">entity in any jurisdiction or country where such distribution or use would be contrary to law or regulation or which would subject MIT to any registration or </t>
  </si>
  <si>
    <t>other requirement within such jurisdiction or country. MIT reserves the right to limit access or availability of the Site to any person, geographic region or jurisdiction.</t>
  </si>
  <si>
    <t xml:space="preserve">The parties shall settle any dispute arising out of or relating to these Terms of Use or your use of the Site by arbitration in the city of Boston, Massachusetts, USA, </t>
  </si>
  <si>
    <t>in accordance with the applicable rules of the American Arbitration Association then in effect. The arbitrator’s award shall be final and may be confirmed by the</t>
  </si>
  <si>
    <t xml:space="preserve"> judgment of a state or federal court in the city of Boston, Massachusetts.</t>
  </si>
  <si>
    <t>These Terms of Use and all disputes or controversies arising out of or relating to these Terms of Use and your use of the Site and the Content shall be governed</t>
  </si>
  <si>
    <t xml:space="preserve"> by, and construed in accordance with, the laws of the Commonwealth of Massachusetts without regard to conflicts of law provisions that would require </t>
  </si>
  <si>
    <t>the laws of another jurisdiction to apply.</t>
  </si>
  <si>
    <t xml:space="preserve">ANY CAUSE OF ACTION OR CLAIM YOU MAY HAVE ARISING OUT OF OR RELATING TO THESE TERMS OF USE OR THE SITE OR THE CONTENT MUST </t>
  </si>
  <si>
    <t>BE COMMENCED WITHIN ONE (1) YEAR AFTER THE CAUSE OF ACTION ACCRUES, OTHERWISE SUCH CAUSE OF ACTION OR CLAIM IS PERMANENTLY BARRED.</t>
  </si>
  <si>
    <t xml:space="preserve">No waiver of these Terms of Use by MIT shall be deemed a further or continuing waiver of such term or condition or any other term or condition, and any failure </t>
  </si>
  <si>
    <t xml:space="preserve">of MIT to assert a right or provision under these Terms of Use shall not constitute a waiver of such right or provision.  If any provision of these Terms of Use </t>
  </si>
  <si>
    <t xml:space="preserve">is held by a court of competent jurisdiction to be invalid, illegal or unenforceable for any reason, such provision shall be eliminated or limited to the minimum </t>
  </si>
  <si>
    <t>extent such that the remaining provisions of the Terms of Use will continue in full force and effect.</t>
  </si>
  <si>
    <t xml:space="preserve">1. The Site is operated by the FoCUS Project within CBI at MIT.  All technical issues or questions may be directed to newdigs@mit.edu, </t>
  </si>
  <si>
    <t>provided that MIT is under no obligation to respond to your email or make any requested fix.</t>
  </si>
  <si>
    <t xml:space="preserve">2. ​All other feedback and comments concerning the Site and the Content, or other general inquiries related to CBI, NEWDIGS </t>
  </si>
  <si>
    <t>or FoCUS should be directed to newdigs@mit.edu.</t>
  </si>
  <si>
    <t xml:space="preserve">PROPERLY ATTRIBUTE SUCH CONTENT TO MIT. FOR THE SAKE OF CLARITY, PROPER ATTRIBUTION INCLUDES THE REPRODUCTION OF ALL </t>
  </si>
  <si>
    <t xml:space="preserve">COPYRIGHT NOTICES. YOU MAY NOT SELL THE AVAILABLE CONTENT OR OTHERWISE DISTRIBUTE IT FOR A FEE. YOU WILL NOT USE OR </t>
  </si>
  <si>
    <t xml:space="preserve">DISCLOSE THE AVAILABLE CONTENT TO ANY THIRD PARTIES EXCEPT AS EXPRESSLY PERMITTED BY THESE TERMS OF USE. ANY </t>
  </si>
  <si>
    <t>PERMISSION TO USE AVAILABLE CONTENT IS REVOCABLE BY MIT AT ITS SOLE DISCRETION AT ANY TIME UPON NOTICE FROM MIT.</t>
  </si>
  <si>
    <t xml:space="preserve">AND THE CONTENT ARE PROVIDED ON AN “AS IS” AND “AS AVAILABLE” BASIS, WITHOUT ANY WARRANTIES OF ANY KIND, EITHER EXPRESS OR IMPLIED, STATUTORY OR </t>
  </si>
  <si>
    <t xml:space="preserve">OTHERWISE, INCLUDING BUT NOT LIMITED TO ANY WARRANTIES OF MERCHANTABILITY, NON-INFRINGEMENT AND FITNESS FOR A PARTICULAR PURPOSE. WITHOUT LIMITING </t>
  </si>
  <si>
    <t xml:space="preserve">THE FOREGOING, MIT MAKES NO WARRANTY THAT: (a) THE SITE OR THE CONTENT IS ACCURATE, COMPLETE, USEFUL FOR A PARTICULAR PURPOSE OR UP-TO-DATE OR (b) </t>
  </si>
  <si>
    <t xml:space="preserve">THAT THE INFORMATION THAT MAY BE OBTAINED FROM THE USE OF THE SITE OR CONTENT WILL BE ACCURATE, RELIABLE OR OTHEREWISE MEET YOUR NEEDS OR </t>
  </si>
  <si>
    <t xml:space="preserve">EXPECTATIONS. YOUR USE OF, AND RELIANCE ON, THE SITE, THE CONTENT, AND/OR ANY INFORMATION BASED UPON USE OF THE CONTENT IS STRICTLY AT YOUR OWN RISK. </t>
  </si>
  <si>
    <t xml:space="preserve">MIT shall not be responsible or liable for your use of the Site, the Content, and/or any information based upon your use of the Content. This Site and the Content are not a substitute for your or your entity’s </t>
  </si>
  <si>
    <t>own decision-making.</t>
  </si>
  <si>
    <t>It lays out a) the estimated cost of therapy in aggregate and PMPM by year, b) the "likely maximum cost" given confidence intervals, and c) the cost of treating one patient (important for smaller plans infrequently having a patient).</t>
  </si>
  <si>
    <t>Estimated TREATED Population</t>
  </si>
  <si>
    <t>The "Likely Maximum Cost"</t>
  </si>
  <si>
    <t>This section pulls in therapy information from your work on the Population Estimator Tool page.  If the indication you are interested in is not represented in the drop-down menus, you may enter your target indication below in the orange cells.</t>
  </si>
  <si>
    <t>PAYING FOR CURES TOOLKIT AND MATERIALS</t>
  </si>
  <si>
    <t>The Therapy Impact Modeling Tool illustrates the annual estimated PMPM for the indication, the expected likely maximum cost that the plan could experience, and the cost if a plan has one patient</t>
  </si>
  <si>
    <t xml:space="preserve">(for ultra-rare therapies, small plans statistically will likely have either no or one patient, though which of the two scenarios will transpire is difficult to predict).  Based on this, you can assess whether </t>
  </si>
  <si>
    <t>your plan is likely to be able to manage the actuarial uncertainty associated with the potential number of patients and the cost of the medicine in the timeframe they are expected.</t>
  </si>
  <si>
    <t xml:space="preserve">Based on the expected number of patients for the indication, and insights from the Therapy Impact Modeling Tool’s annual estimated PMPM for the indication, expected likely maximum cost that the plan </t>
  </si>
  <si>
    <t>could experience, and cost for one patient, you can assess whether your plan is likely to be able to manage the financial impact of the medicine in the timeframe it is expected.</t>
  </si>
  <si>
    <t>Based on your selections the team's estimate of total clinically-relevant US incidence and prevalence will populate.</t>
  </si>
  <si>
    <t xml:space="preserve">MIT NEWDIGS FoCUS undertook a pipeline analysis to determine the scale of the financing challenge of </t>
  </si>
  <si>
    <t>Aging</t>
  </si>
  <si>
    <t>Amyloidosis, transthyretin-related hereditary</t>
  </si>
  <si>
    <t>Cancer, biliary</t>
  </si>
  <si>
    <t>Cancer, lymphoma, marginal zone</t>
  </si>
  <si>
    <t>Cancer, lymphoma, NK/T-cell</t>
  </si>
  <si>
    <t>Cancer, lymphoma, small lymphocytic</t>
  </si>
  <si>
    <t>Cancer, Schwannoma</t>
  </si>
  <si>
    <t>Cancer, unspecified</t>
  </si>
  <si>
    <t>Cancer, urothelial</t>
  </si>
  <si>
    <t>Charcot-Marie-Tooth disease</t>
  </si>
  <si>
    <t>Cystinosis, unspecified</t>
  </si>
  <si>
    <t>Dementia, frontotemporal</t>
  </si>
  <si>
    <t>Epidermolysis bullosa, junctional</t>
  </si>
  <si>
    <t>Huntington's disease</t>
  </si>
  <si>
    <t>Hyperphenylalaninaemia</t>
  </si>
  <si>
    <t>Ichthyosis</t>
  </si>
  <si>
    <t>Macular edema, diabetic</t>
  </si>
  <si>
    <t>Pemphigus</t>
  </si>
  <si>
    <t>POEMS syndrome</t>
  </si>
  <si>
    <t>Pyruvate kinase deficiency</t>
  </si>
  <si>
    <t>Retinopathy, diabetic</t>
  </si>
  <si>
    <t>Sickle cell disease</t>
  </si>
  <si>
    <t>Xerostomia</t>
  </si>
  <si>
    <t>CNGA3</t>
  </si>
  <si>
    <t>CNGB3</t>
  </si>
  <si>
    <t>ABCD1</t>
  </si>
  <si>
    <t>hTERT</t>
  </si>
  <si>
    <t>SERPINA1</t>
  </si>
  <si>
    <t>APOE4</t>
  </si>
  <si>
    <t>TTR</t>
  </si>
  <si>
    <t>FANCA</t>
  </si>
  <si>
    <t>VEGF</t>
  </si>
  <si>
    <t>AADC</t>
  </si>
  <si>
    <t>IL-10</t>
  </si>
  <si>
    <t>IL-1Ra</t>
  </si>
  <si>
    <t>TGFB1</t>
  </si>
  <si>
    <t>HI-B</t>
  </si>
  <si>
    <t>CLN2</t>
  </si>
  <si>
    <t>CLN3</t>
  </si>
  <si>
    <t>CLN6</t>
  </si>
  <si>
    <t>HPV16-E7</t>
  </si>
  <si>
    <t>Mesothelin</t>
  </si>
  <si>
    <t>MUC1</t>
  </si>
  <si>
    <t>HER2</t>
  </si>
  <si>
    <t>MAGE-A10</t>
  </si>
  <si>
    <t>ROR2</t>
  </si>
  <si>
    <t>CD123</t>
  </si>
  <si>
    <t>IL13Ra2</t>
  </si>
  <si>
    <t>CEA</t>
  </si>
  <si>
    <t>EpCAM</t>
  </si>
  <si>
    <t>GD2+HER2+CD44v6</t>
  </si>
  <si>
    <t>huMNC+CD44</t>
  </si>
  <si>
    <t>MAGE-A4</t>
  </si>
  <si>
    <t>NY-ESO-1</t>
  </si>
  <si>
    <t>PRAME</t>
  </si>
  <si>
    <t>PSMA</t>
  </si>
  <si>
    <t>ROR-1</t>
  </si>
  <si>
    <t>SSX2</t>
  </si>
  <si>
    <t>Survivin</t>
  </si>
  <si>
    <t>CD22+PDL1</t>
  </si>
  <si>
    <t>GD2</t>
  </si>
  <si>
    <t>HPV-E6</t>
  </si>
  <si>
    <t>MUC1+Mesothelin</t>
  </si>
  <si>
    <t>B7H3</t>
  </si>
  <si>
    <t>EGFR</t>
  </si>
  <si>
    <t>NKG2D</t>
  </si>
  <si>
    <t>NK</t>
  </si>
  <si>
    <t>WT-1</t>
  </si>
  <si>
    <t>CLD18</t>
  </si>
  <si>
    <t>CD147</t>
  </si>
  <si>
    <t>CD19+CD28+CD3zeta</t>
  </si>
  <si>
    <t>C7R+GD2</t>
  </si>
  <si>
    <t>CD133</t>
  </si>
  <si>
    <t>EphA2</t>
  </si>
  <si>
    <t>EBV+PD1</t>
  </si>
  <si>
    <t>HPV16-E6</t>
  </si>
  <si>
    <t>MAGE-A4+MAGE-A8</t>
  </si>
  <si>
    <t>MAGE-C2</t>
  </si>
  <si>
    <t>BCMA</t>
  </si>
  <si>
    <t>CD10</t>
  </si>
  <si>
    <t>CD19</t>
  </si>
  <si>
    <t>CD19+BCMA</t>
  </si>
  <si>
    <t>CD19+CD20</t>
  </si>
  <si>
    <t>CD19+CD20+CD22</t>
  </si>
  <si>
    <t>CD19+CD22</t>
  </si>
  <si>
    <t>CD20</t>
  </si>
  <si>
    <t>CD22</t>
  </si>
  <si>
    <t>CD22+CD10+CD20+CD38+CD123</t>
  </si>
  <si>
    <t>GOC22F</t>
  </si>
  <si>
    <t>HA-1</t>
  </si>
  <si>
    <t>CD117</t>
  </si>
  <si>
    <t>CD33</t>
  </si>
  <si>
    <t>CD33+CD38+CD56+CD117+CD123+CD133+CD34+MUC1</t>
  </si>
  <si>
    <t>CD34</t>
  </si>
  <si>
    <t>CD38</t>
  </si>
  <si>
    <t>CD44</t>
  </si>
  <si>
    <t>CD56</t>
  </si>
  <si>
    <t>CD7</t>
  </si>
  <si>
    <t>CLL-1</t>
  </si>
  <si>
    <t>CLL1+CD33</t>
  </si>
  <si>
    <t>CLL-1+CD33+CD123</t>
  </si>
  <si>
    <t>HA1H</t>
  </si>
  <si>
    <t>CD19+NK</t>
  </si>
  <si>
    <t>CD28</t>
  </si>
  <si>
    <t>CD30</t>
  </si>
  <si>
    <t>CD4</t>
  </si>
  <si>
    <t>CD5+CD28</t>
  </si>
  <si>
    <t>AFP</t>
  </si>
  <si>
    <t>DR5</t>
  </si>
  <si>
    <t>GPC3</t>
  </si>
  <si>
    <t>HBV</t>
  </si>
  <si>
    <t>MAGE-A1</t>
  </si>
  <si>
    <t>CXCR5</t>
  </si>
  <si>
    <t>Neoantigen</t>
  </si>
  <si>
    <t>DLL3</t>
  </si>
  <si>
    <t>MUC1+PD-L1+CD80+86</t>
  </si>
  <si>
    <t>PSCA+PD-L1+CD80+86</t>
  </si>
  <si>
    <t>CD19+CD20+CD22+CD70+CD13+CD79b+GD2+PSMA</t>
  </si>
  <si>
    <t>CD19+CD22+CD30+CD7+CD79</t>
  </si>
  <si>
    <t>CD19+PD1</t>
  </si>
  <si>
    <t>CD20+CD22</t>
  </si>
  <si>
    <t>CD37</t>
  </si>
  <si>
    <t>Kappa+CD28</t>
  </si>
  <si>
    <t>CD19+IL7+CCL19</t>
  </si>
  <si>
    <t>BCMA+CD19+CD22+CD79</t>
  </si>
  <si>
    <t>CD7+NK</t>
  </si>
  <si>
    <t>CD70</t>
  </si>
  <si>
    <t>TRBC1</t>
  </si>
  <si>
    <t>CXCR2+NGFR</t>
  </si>
  <si>
    <t>FBP</t>
  </si>
  <si>
    <t>MART-1</t>
  </si>
  <si>
    <t>MHC-1</t>
  </si>
  <si>
    <t>SLC45a2</t>
  </si>
  <si>
    <t>Tyrosinase</t>
  </si>
  <si>
    <t>CD16</t>
  </si>
  <si>
    <t>CD8</t>
  </si>
  <si>
    <t>BCMA+CS1</t>
  </si>
  <si>
    <t>BCMA+PD1</t>
  </si>
  <si>
    <t>CD138</t>
  </si>
  <si>
    <t>CD39</t>
  </si>
  <si>
    <t>CS1</t>
  </si>
  <si>
    <t>GPRC5D</t>
  </si>
  <si>
    <t>SLAMF7</t>
  </si>
  <si>
    <t>EBV</t>
  </si>
  <si>
    <t>LMP2</t>
  </si>
  <si>
    <t>NY-ESO-1+LAGE-1a</t>
  </si>
  <si>
    <t>CD171</t>
  </si>
  <si>
    <t>MESO</t>
  </si>
  <si>
    <t>KRAS+G12V</t>
  </si>
  <si>
    <t>PSCA</t>
  </si>
  <si>
    <t>ROBO1</t>
  </si>
  <si>
    <t>PSMA+CD3</t>
  </si>
  <si>
    <t>HERV-E</t>
  </si>
  <si>
    <t>SSX</t>
  </si>
  <si>
    <t>CD16+IL-2</t>
  </si>
  <si>
    <t>CD3</t>
  </si>
  <si>
    <t>CD44v6</t>
  </si>
  <si>
    <t>CLDN6</t>
  </si>
  <si>
    <t>c-MET</t>
  </si>
  <si>
    <t>COL6A3</t>
  </si>
  <si>
    <t>HPV16</t>
  </si>
  <si>
    <t>HPV-16+E6</t>
  </si>
  <si>
    <t>HPV-18+E7</t>
  </si>
  <si>
    <t>MAGE-A3</t>
  </si>
  <si>
    <t>MUC16</t>
  </si>
  <si>
    <t>MXRA5</t>
  </si>
  <si>
    <t>Nectin4+FAP</t>
  </si>
  <si>
    <t>Non-identified+antigen</t>
  </si>
  <si>
    <t>PD-L1</t>
  </si>
  <si>
    <t>GUCY2C</t>
  </si>
  <si>
    <t>ICAM1</t>
  </si>
  <si>
    <t>NF3+PMP22</t>
  </si>
  <si>
    <t>CHM+REP1</t>
  </si>
  <si>
    <t>CYBB</t>
  </si>
  <si>
    <t>UGT1A1</t>
  </si>
  <si>
    <t>CTNS</t>
  </si>
  <si>
    <t>GRN</t>
  </si>
  <si>
    <t>Dystrophin</t>
  </si>
  <si>
    <t>GALGT2</t>
  </si>
  <si>
    <t>U7snRNA</t>
  </si>
  <si>
    <t>DYSF</t>
  </si>
  <si>
    <t>SGCA</t>
  </si>
  <si>
    <t>SGCB</t>
  </si>
  <si>
    <t>COL7A1</t>
  </si>
  <si>
    <t>COL17A1</t>
  </si>
  <si>
    <t>GLA</t>
  </si>
  <si>
    <t>GBA</t>
  </si>
  <si>
    <t>G6PC</t>
  </si>
  <si>
    <t>GAA</t>
  </si>
  <si>
    <t>hFVIII</t>
  </si>
  <si>
    <t>hFIX</t>
  </si>
  <si>
    <t>Hath1</t>
  </si>
  <si>
    <t>S100A1+SDF-1α+VEGF165</t>
  </si>
  <si>
    <t>T35D</t>
  </si>
  <si>
    <t>LDLR</t>
  </si>
  <si>
    <t>HTT</t>
  </si>
  <si>
    <t>PAH</t>
  </si>
  <si>
    <t>TGM1</t>
  </si>
  <si>
    <t>HGF</t>
  </si>
  <si>
    <t>CEP290</t>
  </si>
  <si>
    <t>RPE65</t>
  </si>
  <si>
    <t>ND4</t>
  </si>
  <si>
    <t>P1ND4v2</t>
  </si>
  <si>
    <t>ITGB2</t>
  </si>
  <si>
    <t>ARSA</t>
  </si>
  <si>
    <t>CFI</t>
  </si>
  <si>
    <t>EIAV+Endostatin+Angiostatin</t>
  </si>
  <si>
    <t>sCD59</t>
  </si>
  <si>
    <t>VEGF-Fc</t>
  </si>
  <si>
    <t>IDUA</t>
  </si>
  <si>
    <t>IDS</t>
  </si>
  <si>
    <t>SGSH</t>
  </si>
  <si>
    <t>NAGLU</t>
  </si>
  <si>
    <t>ARSB</t>
  </si>
  <si>
    <t>SMN1</t>
  </si>
  <si>
    <t>MTM1</t>
  </si>
  <si>
    <t>OTC</t>
  </si>
  <si>
    <t>hMax-K</t>
  </si>
  <si>
    <t>GDNF</t>
  </si>
  <si>
    <t>TH+AADC+GCH1</t>
  </si>
  <si>
    <t>DSG3</t>
  </si>
  <si>
    <t>FGF2</t>
  </si>
  <si>
    <t>PKLR</t>
  </si>
  <si>
    <t>ChronosFP</t>
  </si>
  <si>
    <t>PDE6B</t>
  </si>
  <si>
    <t>RHO</t>
  </si>
  <si>
    <t>RLBP1</t>
  </si>
  <si>
    <t>RPGR</t>
  </si>
  <si>
    <t>anti-VEGF</t>
  </si>
  <si>
    <t>RS1</t>
  </si>
  <si>
    <t>ADA</t>
  </si>
  <si>
    <t>DCLRE1C</t>
  </si>
  <si>
    <t>IL2RG+γc</t>
  </si>
  <si>
    <t>MMP-1</t>
  </si>
  <si>
    <t>BCL11A</t>
  </si>
  <si>
    <t>HBB</t>
  </si>
  <si>
    <t>Y-Globin</t>
  </si>
  <si>
    <t>WAS</t>
  </si>
  <si>
    <t>COL3A1</t>
  </si>
  <si>
    <t>AQP1</t>
  </si>
  <si>
    <t>Adrenal insufficiency, primary, congenital</t>
  </si>
  <si>
    <t>Angelman syndrome</t>
  </si>
  <si>
    <t>Ataxia, Friedreich's</t>
  </si>
  <si>
    <t>Ataxia, spinocerebellar</t>
  </si>
  <si>
    <t>Atrophy, spinobulbar muscular</t>
  </si>
  <si>
    <t>Bardet-Biedl syndrome</t>
  </si>
  <si>
    <t>Bietti's crystalline dystrophy</t>
  </si>
  <si>
    <t>Canavan disease</t>
  </si>
  <si>
    <t>Cancer, gastroesophageal junction</t>
  </si>
  <si>
    <t>Cardiomyopathy, dilated</t>
  </si>
  <si>
    <t>CDKL5 deficiency</t>
  </si>
  <si>
    <t>Cystic fibrosis</t>
  </si>
  <si>
    <t>Danon disease</t>
  </si>
  <si>
    <t>Dementia, Lewy body</t>
  </si>
  <si>
    <t>Diabetes, Type 2</t>
  </si>
  <si>
    <t>Dystrophy, congenital muscular</t>
  </si>
  <si>
    <t>Epilepsy, unspecified</t>
  </si>
  <si>
    <t>Fragile-X syndrome</t>
  </si>
  <si>
    <t>GM1 gangliosidosis</t>
  </si>
  <si>
    <t>Haemolytic uraemic syndrome</t>
  </si>
  <si>
    <t>Hepatic dysfunction, alpha-1 antitrypsin deficiency related</t>
  </si>
  <si>
    <t>Hepatic dysfunction, primary hyperoxaluria, Type 1</t>
  </si>
  <si>
    <t>Immune dysregulation, polyendocrinopathy, X-linked syndrome</t>
  </si>
  <si>
    <t>Ischaemia, cerebral</t>
  </si>
  <si>
    <t>Leukodystrophy, globoid cell</t>
  </si>
  <si>
    <t>Lupus erythematosus, systemic</t>
  </si>
  <si>
    <t>Macular degeneration, Best vitelliform</t>
  </si>
  <si>
    <t>Macular degeneration, juvenile, Stargardt's Disease</t>
  </si>
  <si>
    <t>Menkes disease</t>
  </si>
  <si>
    <t>Methylmalonic acidaemia</t>
  </si>
  <si>
    <t>Multiple sclerosis, unspecified</t>
  </si>
  <si>
    <t>Multiple system atrophy</t>
  </si>
  <si>
    <t>Niemann-Pick disease</t>
  </si>
  <si>
    <t>Osteopetrosis</t>
  </si>
  <si>
    <t>Paroxysmal nocturnal haemoglobinuria</t>
  </si>
  <si>
    <t>Progressive familial intrahepatic cholestasis</t>
  </si>
  <si>
    <t>Progressive supranuclear palsy</t>
  </si>
  <si>
    <t>Rett Syndrome</t>
  </si>
  <si>
    <t>Transplant rejection, organ</t>
  </si>
  <si>
    <t>Traumatic brain injury</t>
  </si>
  <si>
    <t>Usher syndrome</t>
  </si>
  <si>
    <t>Wilson's disease</t>
  </si>
  <si>
    <t>CYP21A2</t>
  </si>
  <si>
    <t>CAV1</t>
  </si>
  <si>
    <t>CYP46A1</t>
  </si>
  <si>
    <t>Klotho</t>
  </si>
  <si>
    <t>NEUROD1</t>
  </si>
  <si>
    <t>PHF1</t>
  </si>
  <si>
    <t>RELN</t>
  </si>
  <si>
    <t>ADAR2</t>
  </si>
  <si>
    <t>C9orf72</t>
  </si>
  <si>
    <t>SOD1</t>
  </si>
  <si>
    <t>UPF1</t>
  </si>
  <si>
    <t>UBE3A</t>
  </si>
  <si>
    <t>Undisclosed</t>
  </si>
  <si>
    <t>CAR-Treg</t>
  </si>
  <si>
    <t>FXN</t>
  </si>
  <si>
    <t>ATXN3</t>
  </si>
  <si>
    <t>NR2E3</t>
  </si>
  <si>
    <t>CLN1</t>
  </si>
  <si>
    <t>CYP4V2</t>
  </si>
  <si>
    <t>ASPA</t>
  </si>
  <si>
    <t>PSMA FRa</t>
  </si>
  <si>
    <t>CD19 CD20</t>
  </si>
  <si>
    <t>CD19 CD20 CD22</t>
  </si>
  <si>
    <t>CD19 CD22</t>
  </si>
  <si>
    <t>CD20 CD22 CD10</t>
  </si>
  <si>
    <t>CD38 BCMA</t>
  </si>
  <si>
    <t>CD123 CLL1</t>
  </si>
  <si>
    <t>CLL1 CD33</t>
  </si>
  <si>
    <t>CD19 CD123</t>
  </si>
  <si>
    <t>CD19 CD38</t>
  </si>
  <si>
    <t>CD19 CD70</t>
  </si>
  <si>
    <t>CD19 NK</t>
  </si>
  <si>
    <t>CD30 CCR4</t>
  </si>
  <si>
    <t>BCMA CD19</t>
  </si>
  <si>
    <t>BCMA CD3</t>
  </si>
  <si>
    <t>BCMA CD38 CD56 CD138</t>
  </si>
  <si>
    <t>BCMA Integrin β7</t>
  </si>
  <si>
    <t>CD138 BCMA</t>
  </si>
  <si>
    <t>CD138 CD38</t>
  </si>
  <si>
    <t>CD138 CS1</t>
  </si>
  <si>
    <t>CD138 Integrin β7</t>
  </si>
  <si>
    <t>CD19 BCMA</t>
  </si>
  <si>
    <t>CD38 CS1</t>
  </si>
  <si>
    <t>CD38 Integrin β7</t>
  </si>
  <si>
    <t>CS1 BCMA</t>
  </si>
  <si>
    <t>CS1 Integrin β7</t>
  </si>
  <si>
    <t>CD8 IL-21</t>
  </si>
  <si>
    <t>EGFR CD19</t>
  </si>
  <si>
    <t>MAGE-A3 MAGE-A6</t>
  </si>
  <si>
    <t>MAGE-A4+MAGE-A10</t>
  </si>
  <si>
    <t>NeoE</t>
  </si>
  <si>
    <t>BAG3</t>
  </si>
  <si>
    <t>CDKL5</t>
  </si>
  <si>
    <t>CFTR</t>
  </si>
  <si>
    <t>LAMP-2</t>
  </si>
  <si>
    <t>SNCA</t>
  </si>
  <si>
    <t>PD-L1+ASC</t>
  </si>
  <si>
    <t>UCn2</t>
  </si>
  <si>
    <t>LAMA2</t>
  </si>
  <si>
    <t>ANO5</t>
  </si>
  <si>
    <t>CAPN-3</t>
  </si>
  <si>
    <t>FKRP</t>
  </si>
  <si>
    <t>SGCG</t>
  </si>
  <si>
    <t>NPY+Y2</t>
  </si>
  <si>
    <t>DGKK</t>
  </si>
  <si>
    <t>GLB1</t>
  </si>
  <si>
    <t>CFH</t>
  </si>
  <si>
    <t>OTOF</t>
  </si>
  <si>
    <t>AGXT</t>
  </si>
  <si>
    <t>FOXP3</t>
  </si>
  <si>
    <t>AIPL1</t>
  </si>
  <si>
    <t>ND1</t>
  </si>
  <si>
    <t>GALC</t>
  </si>
  <si>
    <t>RORA</t>
  </si>
  <si>
    <t>BEST1</t>
  </si>
  <si>
    <t>ABCA4</t>
  </si>
  <si>
    <t>ATP7A</t>
  </si>
  <si>
    <t>MMUT</t>
  </si>
  <si>
    <t>SNCA+COQ2</t>
  </si>
  <si>
    <t>SPINK5</t>
  </si>
  <si>
    <t>NPC1</t>
  </si>
  <si>
    <t>TCIRG1</t>
  </si>
  <si>
    <t>GBA1</t>
  </si>
  <si>
    <t>PIGA</t>
  </si>
  <si>
    <t>DSG1+DSG3</t>
  </si>
  <si>
    <t>ABCB4</t>
  </si>
  <si>
    <t>CNTF</t>
  </si>
  <si>
    <t>OPN4</t>
  </si>
  <si>
    <t>RdCVF</t>
  </si>
  <si>
    <t>MECP2</t>
  </si>
  <si>
    <t>USH2A</t>
  </si>
  <si>
    <t>ATP7B</t>
  </si>
  <si>
    <t>Max Incidence</t>
  </si>
  <si>
    <t>Max Prevalence</t>
  </si>
  <si>
    <t>Adopt Incidence</t>
  </si>
  <si>
    <t>Adopt Prevalence</t>
  </si>
  <si>
    <t>Calc Incidence</t>
  </si>
  <si>
    <t>Calc Prevalence</t>
  </si>
  <si>
    <t>Selection</t>
  </si>
  <si>
    <t>Achromatopsia#CNGA3</t>
  </si>
  <si>
    <t>Achromatopsia#CNGB3</t>
  </si>
  <si>
    <t>Adrenal insufficiency, primary, congenital#CYP21A2</t>
  </si>
  <si>
    <t>Adrenoleukodystrophy#ABCD1</t>
  </si>
  <si>
    <t>Aging#hTERT</t>
  </si>
  <si>
    <t>Alpha-1 antitrypsin deficiency#SERPINA1</t>
  </si>
  <si>
    <t>Alzheimer's disease#APOE4</t>
  </si>
  <si>
    <t>Alzheimer's disease#CAV1</t>
  </si>
  <si>
    <t>Alzheimer's disease#CYP46A1</t>
  </si>
  <si>
    <t>Alzheimer's disease#hTERT</t>
  </si>
  <si>
    <t>Alzheimer's disease#HTT</t>
  </si>
  <si>
    <t>Alzheimer's disease#Klotho</t>
  </si>
  <si>
    <t>Alzheimer's disease#NEUROD1</t>
  </si>
  <si>
    <t>Alzheimer's disease#PHF1</t>
  </si>
  <si>
    <t>Alzheimer's disease#RELN</t>
  </si>
  <si>
    <t>Amyloidosis, transthyretin-related hereditary#TTR</t>
  </si>
  <si>
    <t>Amyotrophic lateral sclerosis#ADAR2</t>
  </si>
  <si>
    <t>Amyotrophic lateral sclerosis#C9orf72</t>
  </si>
  <si>
    <t>Amyotrophic lateral sclerosis#CAV1</t>
  </si>
  <si>
    <t>Amyotrophic lateral sclerosis#GDNF</t>
  </si>
  <si>
    <t>Amyotrophic lateral sclerosis#NEUROD1</t>
  </si>
  <si>
    <t>Amyotrophic lateral sclerosis#SOD1</t>
  </si>
  <si>
    <t>Amyotrophic lateral sclerosis#UPF1</t>
  </si>
  <si>
    <t>Anaemia, aplastic, Fanconi's#FANCA</t>
  </si>
  <si>
    <t>Angelman syndrome#UBE3A</t>
  </si>
  <si>
    <t>Angina, pectoris#VEGF</t>
  </si>
  <si>
    <t>Aromatic L-amino acid decarboxylase deficiency#AADC</t>
  </si>
  <si>
    <t>Arthritis, osteo#IL-10</t>
  </si>
  <si>
    <t>Arthritis, osteo#IL-1Ra</t>
  </si>
  <si>
    <t>Arthritis, osteo#TGFB1</t>
  </si>
  <si>
    <t>Arthritis, osteo#Undisclosed</t>
  </si>
  <si>
    <t>Arthritis, psoriatic#CAR-Treg</t>
  </si>
  <si>
    <t>Arthritis, rheumatoid#HI-B</t>
  </si>
  <si>
    <t>Ataxia, Friedreich's#FXN</t>
  </si>
  <si>
    <t>Ataxia, spinocerebellar#ATXN3</t>
  </si>
  <si>
    <t>Ataxia, spinocerebellar#HTT</t>
  </si>
  <si>
    <t>Atrophy, spinobulbar muscular#HTT</t>
  </si>
  <si>
    <t>Bardet-Biedl syndrome#NR2E3</t>
  </si>
  <si>
    <t>Batten's disease#CLN1</t>
  </si>
  <si>
    <t>Batten's disease#CLN2</t>
  </si>
  <si>
    <t>Batten's disease#CLN3</t>
  </si>
  <si>
    <t>Batten's disease#CLN6</t>
  </si>
  <si>
    <t>Bietti's crystalline dystrophy#CYP4V2</t>
  </si>
  <si>
    <t>Canavan disease#ASPA</t>
  </si>
  <si>
    <t>Cancer, anal#HPV16-E7</t>
  </si>
  <si>
    <t>Cancer, biliary#Mesothelin</t>
  </si>
  <si>
    <t>Cancer, biliary#MUC1</t>
  </si>
  <si>
    <t>Cancer, bladder#HER2</t>
  </si>
  <si>
    <t>Cancer, bladder#MAGE-A10</t>
  </si>
  <si>
    <t>Cancer, bladder#PSMA FRa</t>
  </si>
  <si>
    <t>Cancer, bladder#ROR2</t>
  </si>
  <si>
    <t>Cancer, BPDCN#CD123</t>
  </si>
  <si>
    <t>Cancer, brain#HER2</t>
  </si>
  <si>
    <t>Cancer, brain#IL13Ra2</t>
  </si>
  <si>
    <t>Cancer, breast#CEA</t>
  </si>
  <si>
    <t>Cancer, breast#EpCAM</t>
  </si>
  <si>
    <t>Cancer, breast#GD2+HER2+CD44v6</t>
  </si>
  <si>
    <t>Cancer, breast#HER2</t>
  </si>
  <si>
    <t>Cancer, breast#huMNC+CD44</t>
  </si>
  <si>
    <t>Cancer, breast#MAGE-A4</t>
  </si>
  <si>
    <t>Cancer, breast#Mesothelin</t>
  </si>
  <si>
    <t>Cancer, breast#MUC1</t>
  </si>
  <si>
    <t>Cancer, breast#NY-ESO-1</t>
  </si>
  <si>
    <t>Cancer, breast#PRAME</t>
  </si>
  <si>
    <t>Cancer, breast#PSMA</t>
  </si>
  <si>
    <t>Cancer, breast#ROR-1</t>
  </si>
  <si>
    <t>Cancer, breast#SSX2</t>
  </si>
  <si>
    <t>Cancer, breast#Survivin</t>
  </si>
  <si>
    <t>Cancer, cervical#</t>
  </si>
  <si>
    <t>Cancer, cervical#CD22+PDL1</t>
  </si>
  <si>
    <t>Cancer, cervical#GD2</t>
  </si>
  <si>
    <t>Cancer, cervical#HPV-E6</t>
  </si>
  <si>
    <t>Cancer, cervical#Mesothelin</t>
  </si>
  <si>
    <t>Cancer, cervical#MUC1+Mesothelin</t>
  </si>
  <si>
    <t>Cancer, cervical#PSMA</t>
  </si>
  <si>
    <t>Cancer, CNS#B7H3</t>
  </si>
  <si>
    <t>Cancer, CNS#EGFR</t>
  </si>
  <si>
    <t>Cancer, CNS#HER2</t>
  </si>
  <si>
    <t>Cancer, colorectal#CEA</t>
  </si>
  <si>
    <t>Cancer, colorectal#EGFR</t>
  </si>
  <si>
    <t>Cancer, colorectal#HER2</t>
  </si>
  <si>
    <t>Cancer, colorectal#Mesothelin</t>
  </si>
  <si>
    <t>Cancer, colorectal#NKG2D</t>
  </si>
  <si>
    <t>Cancer, colorectal#PSMA</t>
  </si>
  <si>
    <t>Cancer, fallopian tube#</t>
  </si>
  <si>
    <t>Cancer, fallopian tube#Mesothelin</t>
  </si>
  <si>
    <t>Cancer, fallopian tube#MUC1</t>
  </si>
  <si>
    <t>Cancer, fallopian tube#NK</t>
  </si>
  <si>
    <t>Cancer, fallopian tube#NY-ESO-1</t>
  </si>
  <si>
    <t>Cancer, fallopian tube#WT-1</t>
  </si>
  <si>
    <t>Cancer, gastroesophageal junction#CLD18</t>
  </si>
  <si>
    <t>Cancer, gastroesophageal junction#MAGE-A4</t>
  </si>
  <si>
    <t>Cancer, gastrointestinal#</t>
  </si>
  <si>
    <t>Cancer, glioblastoma#B7H3</t>
  </si>
  <si>
    <t>Cancer, glioblastoma#CD147</t>
  </si>
  <si>
    <t>Cancer, glioblastoma#CD19+CD28+CD3zeta</t>
  </si>
  <si>
    <t>Cancer, glioblastoma#EGFR</t>
  </si>
  <si>
    <t>Cancer, glioblastoma#HER2</t>
  </si>
  <si>
    <t>Cancer, glioblastoma#IL13Ra2</t>
  </si>
  <si>
    <t>Cancer, glioma#B7H3</t>
  </si>
  <si>
    <t>Cancer, glioma#C7R+GD2</t>
  </si>
  <si>
    <t>Cancer, glioma#CD133</t>
  </si>
  <si>
    <t>Cancer, glioma#CD19+CD28+CD3zeta</t>
  </si>
  <si>
    <t>Cancer, glioma#EGFR</t>
  </si>
  <si>
    <t>Cancer, glioma#EphA2</t>
  </si>
  <si>
    <t>Cancer, glioma#GD2</t>
  </si>
  <si>
    <t>Cancer, glioma#HER2</t>
  </si>
  <si>
    <t>Cancer, glioma#IL13Ra2</t>
  </si>
  <si>
    <t>Cancer, head and neck#EBV+PD1</t>
  </si>
  <si>
    <t>Cancer, head and neck#HER2</t>
  </si>
  <si>
    <t>Cancer, head and neck#HPV16-E6</t>
  </si>
  <si>
    <t>Cancer, head and neck#HPV16-E7</t>
  </si>
  <si>
    <t>Cancer, head and neck#MAGE-A10</t>
  </si>
  <si>
    <t>Cancer, head and neck#MAGE-A4</t>
  </si>
  <si>
    <t>Cancer, head and neck#MAGE-A4+MAGE-A8</t>
  </si>
  <si>
    <t>Cancer, head and neck#MAGE-C2</t>
  </si>
  <si>
    <t>Cancer, leukaemia, acute lymphocytic#BCMA</t>
  </si>
  <si>
    <t>Cancer, leukaemia, acute lymphocytic#CD10</t>
  </si>
  <si>
    <t>Cancer, leukaemia, acute lymphocytic#CD123</t>
  </si>
  <si>
    <t>Cancer, leukaemia, acute lymphocytic#CD19</t>
  </si>
  <si>
    <t>Cancer, leukaemia, acute lymphocytic#CD19+BCMA</t>
  </si>
  <si>
    <t>Cancer, leukaemia, acute lymphocytic#CD19 CD20</t>
  </si>
  <si>
    <t>Cancer, leukaemia, acute lymphocytic#CD19+CD20</t>
  </si>
  <si>
    <t>Cancer, leukaemia, acute lymphocytic#CD19 CD20 CD22</t>
  </si>
  <si>
    <t>Cancer, leukaemia, acute lymphocytic#CD19+CD22</t>
  </si>
  <si>
    <t>Cancer, leukaemia, acute lymphocytic#CD19 CD22</t>
  </si>
  <si>
    <t>Cancer, leukaemia, acute lymphocytic#CD20</t>
  </si>
  <si>
    <t>Cancer, leukaemia, acute lymphocytic#CD20 CD22 CD10</t>
  </si>
  <si>
    <t>Cancer, leukaemia, acute lymphocytic#CD22</t>
  </si>
  <si>
    <t>Cancer, leukaemia, acute lymphocytic#CD22+CD10+CD20+CD38+CD123</t>
  </si>
  <si>
    <t>Cancer, leukaemia, acute lymphocytic#CD38 BCMA</t>
  </si>
  <si>
    <t>Cancer, leukaemia, acute lymphocytic#GOC22F</t>
  </si>
  <si>
    <t>Cancer, leukaemia, acute lymphocytic#HA-1</t>
  </si>
  <si>
    <t>Cancer, leukaemia, acute lymphocytic#PRAME</t>
  </si>
  <si>
    <t>Cancer, leukaemia, acute lymphocytic#Survivin</t>
  </si>
  <si>
    <t>Cancer, leukaemia, acute lymphocytic#WT-1</t>
  </si>
  <si>
    <t>Cancer, leukaemia, acute myelogenous#B7H3</t>
  </si>
  <si>
    <t>Cancer, leukaemia, acute myelogenous#CD117</t>
  </si>
  <si>
    <t>Cancer, leukaemia, acute myelogenous#CD123</t>
  </si>
  <si>
    <t>Cancer, leukaemia, acute myelogenous#CD123 CLL1</t>
  </si>
  <si>
    <t>Cancer, leukaemia, acute myelogenous#CD19</t>
  </si>
  <si>
    <t>Cancer, leukaemia, acute myelogenous#CD22</t>
  </si>
  <si>
    <t>Cancer, leukaemia, acute myelogenous#CD33</t>
  </si>
  <si>
    <t>Cancer, leukaemia, acute myelogenous#CD33+CD38+CD56+CD117+CD123+CD133+CD34+MUC1</t>
  </si>
  <si>
    <t>Cancer, leukaemia, acute myelogenous#CD34</t>
  </si>
  <si>
    <t>Cancer, leukaemia, acute myelogenous#CD38</t>
  </si>
  <si>
    <t>Cancer, leukaemia, acute myelogenous#CD44</t>
  </si>
  <si>
    <t>Cancer, leukaemia, acute myelogenous#CD56</t>
  </si>
  <si>
    <t>Cancer, leukaemia, acute myelogenous#CD7</t>
  </si>
  <si>
    <t>Cancer, leukaemia, acute myelogenous#CLL-1</t>
  </si>
  <si>
    <t>Cancer, leukaemia, acute myelogenous#CLL-1+CD33+CD123</t>
  </si>
  <si>
    <t>Cancer, leukaemia, acute myelogenous#CLL1+CD33</t>
  </si>
  <si>
    <t>Cancer, leukaemia, acute myelogenous#HA1H</t>
  </si>
  <si>
    <t>Cancer, leukaemia, acute myelogenous#MUC1</t>
  </si>
  <si>
    <t>Cancer, leukaemia, acute myelogenous#NK</t>
  </si>
  <si>
    <t>Cancer, leukaemia, acute myelogenous#NKG2D</t>
  </si>
  <si>
    <t>Cancer, leukaemia, acute myelogenous#NY-ESO-1</t>
  </si>
  <si>
    <t>Cancer, leukaemia, acute myelogenous#PRAME</t>
  </si>
  <si>
    <t>Cancer, leukaemia, acute myelogenous#Survivin</t>
  </si>
  <si>
    <t>Cancer, leukaemia, acute myelogenous#WT-1</t>
  </si>
  <si>
    <t>Cancer, leukaemia, chronic lymphocytic#CD19</t>
  </si>
  <si>
    <t>Cancer, leukaemia, chronic lymphocytic#CD19+BCMA</t>
  </si>
  <si>
    <t>Cancer, leukaemia, chronic lymphocytic#CD19 CD20</t>
  </si>
  <si>
    <t>Cancer, leukaemia, chronic lymphocytic#CD19+CD20</t>
  </si>
  <si>
    <t>Cancer, leukaemia, chronic lymphocytic#CD19+CD20+CD22</t>
  </si>
  <si>
    <t>Cancer, leukaemia, chronic lymphocytic#CD19 CD22</t>
  </si>
  <si>
    <t>Cancer, leukaemia, chronic lymphocytic#CD19+NK</t>
  </si>
  <si>
    <t>Cancer, leukaemia, chronic lymphocytic#CD20</t>
  </si>
  <si>
    <t>Cancer, leukaemia, chronic lymphocytic#CD22</t>
  </si>
  <si>
    <t>Cancer, leukaemia, chronic lymphocytic#CD28</t>
  </si>
  <si>
    <t>Cancer, leukaemia, chronic lymphocytic#GD2</t>
  </si>
  <si>
    <t>Cancer, leukaemia, chronic myelogenous#CD123</t>
  </si>
  <si>
    <t>Cancer, leukaemia, chronic myelogenous#CLL1 CD33</t>
  </si>
  <si>
    <t>Cancer, leukaemia, chronic myelogenous#HA1H</t>
  </si>
  <si>
    <t>Cancer, leukaemia, chronic myelogenous#WT-1</t>
  </si>
  <si>
    <t>Cancer, leukaemia, T-cell#CD30</t>
  </si>
  <si>
    <t>Cancer, leukaemia, T-cell#CD4</t>
  </si>
  <si>
    <t>Cancer, leukaemia, T-cell#CD5+CD28</t>
  </si>
  <si>
    <t>Cancer, leukaemia, T-cell#CD7</t>
  </si>
  <si>
    <t>Cancer, liver#AFP</t>
  </si>
  <si>
    <t>Cancer, liver#CD147</t>
  </si>
  <si>
    <t>Cancer, liver#CEA</t>
  </si>
  <si>
    <t>Cancer, liver#DR5</t>
  </si>
  <si>
    <t>Cancer, liver#EGFR</t>
  </si>
  <si>
    <t>Cancer, liver#GPC3</t>
  </si>
  <si>
    <t>Cancer, liver#HBV</t>
  </si>
  <si>
    <t>Cancer, liver#MAGE-A1</t>
  </si>
  <si>
    <t>Cancer, liver#MUC1</t>
  </si>
  <si>
    <t>Cancer, liver#NKG2D</t>
  </si>
  <si>
    <t>Cancer, lung, non-small cell#CD22+PDL1</t>
  </si>
  <si>
    <t>Cancer, lung, non-small cell#CXCR5</t>
  </si>
  <si>
    <t>Cancer, lung, non-small cell#MAGE-A1</t>
  </si>
  <si>
    <t>Cancer, lung, non-small cell#MAGE-A10</t>
  </si>
  <si>
    <t>Cancer, lung, non-small cell#MAGE-A4</t>
  </si>
  <si>
    <t>Cancer, lung, non-small cell#MAGE-A4+MAGE-A8</t>
  </si>
  <si>
    <t>Cancer, lung, non-small cell#Mesothelin</t>
  </si>
  <si>
    <t>Cancer, lung, non-small cell#MUC1</t>
  </si>
  <si>
    <t>Cancer, lung, non-small cell#Neoantigen</t>
  </si>
  <si>
    <t>Cancer, lung, non-small cell#NK</t>
  </si>
  <si>
    <t>Cancer, lung, non-small cell#NY-ESO-1</t>
  </si>
  <si>
    <t>Cancer, lung, non-small cell#PSMA</t>
  </si>
  <si>
    <t>Cancer, lung, non-small cell#WT-1</t>
  </si>
  <si>
    <t>Cancer, lung, unspecified#CEA</t>
  </si>
  <si>
    <t>Cancer, lung, unspecified#DLL3</t>
  </si>
  <si>
    <t>Cancer, lung, unspecified#GD2</t>
  </si>
  <si>
    <t>Cancer, lung, unspecified#HER2</t>
  </si>
  <si>
    <t>Cancer, lung, unspecified#MAGE-A1</t>
  </si>
  <si>
    <t>Cancer, lung, unspecified#MAGE-A4</t>
  </si>
  <si>
    <t>Cancer, lung, unspecified#Mesothelin</t>
  </si>
  <si>
    <t>Cancer, lung, unspecified#MUC1</t>
  </si>
  <si>
    <t>Cancer, lung, unspecified#MUC1+PD-L1+CD80+86</t>
  </si>
  <si>
    <t>Cancer, lung, unspecified#PSCA+PD-L1+CD80+86</t>
  </si>
  <si>
    <t>Cancer, lymphoma, B-cell#BCMA</t>
  </si>
  <si>
    <t>Cancer, lymphoma, B-cell#CD19</t>
  </si>
  <si>
    <t>Cancer, lymphoma, B-cell#CD19+BCMA</t>
  </si>
  <si>
    <t>Cancer, lymphoma, B-cell#CD19 CD123</t>
  </si>
  <si>
    <t>Cancer, lymphoma, B-cell#CD19 CD20</t>
  </si>
  <si>
    <t>Cancer, lymphoma, B-cell#CD19+CD20+CD22+CD70+CD13+CD79b+GD2+PSMA</t>
  </si>
  <si>
    <t>Cancer, lymphoma, B-cell#CD19 CD22</t>
  </si>
  <si>
    <t>Cancer, lymphoma, B-cell#CD19+CD22+CD30+CD7+CD79</t>
  </si>
  <si>
    <t>Cancer, lymphoma, B-cell#CD19 CD38</t>
  </si>
  <si>
    <t>Cancer, lymphoma, B-cell#CD19 CD70</t>
  </si>
  <si>
    <t>Cancer, lymphoma, B-cell#CD19 NK</t>
  </si>
  <si>
    <t>Cancer, lymphoma, B-cell#CD19+PD1</t>
  </si>
  <si>
    <t>Cancer, lymphoma, B-cell#CD20</t>
  </si>
  <si>
    <t>Cancer, lymphoma, B-cell#CD20+CD22</t>
  </si>
  <si>
    <t>Cancer, lymphoma, B-cell#CD22</t>
  </si>
  <si>
    <t>Cancer, lymphoma, B-cell#CD28</t>
  </si>
  <si>
    <t>Cancer, lymphoma, B-cell#CD30</t>
  </si>
  <si>
    <t>Cancer, lymphoma, B-cell#CD37</t>
  </si>
  <si>
    <t>Cancer, lymphoma, B-cell#Kappa+CD28</t>
  </si>
  <si>
    <t>Cancer, lymphoma, B-cell#PRAME</t>
  </si>
  <si>
    <t>Cancer, lymphoma, B-cell, diffuse large#CD19</t>
  </si>
  <si>
    <t>Cancer, lymphoma, B-cell, diffuse large#CD19+CD20</t>
  </si>
  <si>
    <t>Cancer, lymphoma, B-cell, diffuse large#CD19 CD22</t>
  </si>
  <si>
    <t>Cancer, lymphoma, B-cell, diffuse large#CD19+IL7+CCL19</t>
  </si>
  <si>
    <t>Cancer, lymphoma, B-cell, diffuse large#CD20</t>
  </si>
  <si>
    <t>Cancer, lymphoma, B-cell, diffuse large#CD30</t>
  </si>
  <si>
    <t>Cancer, lymphoma, Burkitt#CD19</t>
  </si>
  <si>
    <t>Cancer, lymphoma, follicular#CD19</t>
  </si>
  <si>
    <t>Cancer, lymphoma, follicular#CD20</t>
  </si>
  <si>
    <t>Cancer, lymphoma, follicular#CD28</t>
  </si>
  <si>
    <t>Cancer, lymphoma, Hodgkin's#BCMA+CD19+CD22+CD79</t>
  </si>
  <si>
    <t>Cancer, lymphoma, Hodgkin's#CD30</t>
  </si>
  <si>
    <t>Cancer, lymphoma, Hodgkin's#CD30 CCR4</t>
  </si>
  <si>
    <t>Cancer, lymphoma, mantle cell#CD19</t>
  </si>
  <si>
    <t>Cancer, lymphoma, mantle cell#CD19+CD20</t>
  </si>
  <si>
    <t>Cancer, lymphoma, mantle cell#CD20</t>
  </si>
  <si>
    <t>Cancer, lymphoma, mantle cell#CD28</t>
  </si>
  <si>
    <t>Cancer, lymphoma, marginal zone#CD19</t>
  </si>
  <si>
    <t>Cancer, lymphoma, marginal zone#CD28</t>
  </si>
  <si>
    <t>Cancer, lymphoma, NK/T-cell#CD30</t>
  </si>
  <si>
    <t>Cancer, lymphoma, NK/T-cell#CD7</t>
  </si>
  <si>
    <t>Cancer, lymphoma, NK/T-cell#CD7+NK</t>
  </si>
  <si>
    <t>Cancer, lymphoma, small lymphocytic#CD19</t>
  </si>
  <si>
    <t>Cancer, lymphoma, small lymphocytic#CD20</t>
  </si>
  <si>
    <t>Cancer, lymphoma, T-cell#CD30</t>
  </si>
  <si>
    <t>Cancer, lymphoma, T-cell#CD30 CCR4</t>
  </si>
  <si>
    <t>Cancer, lymphoma, T-cell#CD37</t>
  </si>
  <si>
    <t>Cancer, lymphoma, T-cell#CD4</t>
  </si>
  <si>
    <t>Cancer, lymphoma, T-cell#CD5+CD28</t>
  </si>
  <si>
    <t>Cancer, lymphoma, T-cell#CD7</t>
  </si>
  <si>
    <t>Cancer, lymphoma, T-cell#CD70</t>
  </si>
  <si>
    <t>Cancer, lymphoma, T-cell#GD2</t>
  </si>
  <si>
    <t>Cancer, lymphoma, T-cell#TRBC1</t>
  </si>
  <si>
    <t>Cancer, melanoma#CD20</t>
  </si>
  <si>
    <t>Cancer, melanoma#CXCR2+NGFR</t>
  </si>
  <si>
    <t>Cancer, melanoma#FBP</t>
  </si>
  <si>
    <t>Cancer, melanoma#IL13Ra2</t>
  </si>
  <si>
    <t>Cancer, melanoma#MAGE-A10</t>
  </si>
  <si>
    <t>Cancer, melanoma#MAGE-A4</t>
  </si>
  <si>
    <t>Cancer, melanoma#MAGE-C2</t>
  </si>
  <si>
    <t>Cancer, melanoma#MART-1</t>
  </si>
  <si>
    <t>Cancer, melanoma#MHC-1</t>
  </si>
  <si>
    <t>Cancer, melanoma#Neoantigen</t>
  </si>
  <si>
    <t>Cancer, melanoma#PRAME</t>
  </si>
  <si>
    <t>Cancer, melanoma#SLC45a2</t>
  </si>
  <si>
    <t>Cancer, melanoma#Tyrosinase</t>
  </si>
  <si>
    <t>Cancer, Merkel cell#</t>
  </si>
  <si>
    <t>Cancer, Merkel cell#CD16</t>
  </si>
  <si>
    <t>Cancer, mesothelioma#CD8</t>
  </si>
  <si>
    <t>Cancer, mesothelioma#Mesothelin</t>
  </si>
  <si>
    <t>Cancer, mesothelioma#WT-1</t>
  </si>
  <si>
    <t>Cancer, myeloma#BCMA</t>
  </si>
  <si>
    <t>Cancer, myeloma#BCMA CD19</t>
  </si>
  <si>
    <t>Cancer, myeloma#BCMA CD3</t>
  </si>
  <si>
    <t>Cancer, myeloma#BCMA CD38 CD56 CD138</t>
  </si>
  <si>
    <t>Cancer, myeloma#BCMA+CS1</t>
  </si>
  <si>
    <t>Cancer, myeloma#BCMA Integrin β7</t>
  </si>
  <si>
    <t>Cancer, myeloma#BCMA+PD1</t>
  </si>
  <si>
    <t>Cancer, myeloma#CD138</t>
  </si>
  <si>
    <t>Cancer, myeloma#CD138 BCMA</t>
  </si>
  <si>
    <t>Cancer, myeloma#CD138 CD38</t>
  </si>
  <si>
    <t>Cancer, myeloma#CD138 CS1</t>
  </si>
  <si>
    <t>Cancer, myeloma#CD138 Integrin β7</t>
  </si>
  <si>
    <t>Cancer, myeloma#CD19</t>
  </si>
  <si>
    <t>Cancer, myeloma#CD19 BCMA</t>
  </si>
  <si>
    <t>Cancer, myeloma#CD28</t>
  </si>
  <si>
    <t>Cancer, myeloma#CD38</t>
  </si>
  <si>
    <t>Cancer, myeloma#CD38 BCMA</t>
  </si>
  <si>
    <t>Cancer, myeloma#CD38 CS1</t>
  </si>
  <si>
    <t>Cancer, myeloma#CD38 Integrin β7</t>
  </si>
  <si>
    <t>Cancer, myeloma#CD39</t>
  </si>
  <si>
    <t>Cancer, myeloma#CD4</t>
  </si>
  <si>
    <t>Cancer, myeloma#CD44</t>
  </si>
  <si>
    <t>Cancer, myeloma#CS1</t>
  </si>
  <si>
    <t>Cancer, myeloma#CS1 BCMA</t>
  </si>
  <si>
    <t>Cancer, myeloma#CS1 Integrin β7</t>
  </si>
  <si>
    <t>Cancer, myeloma#GPRC5D</t>
  </si>
  <si>
    <t>Cancer, myeloma#MAGE-A4</t>
  </si>
  <si>
    <t>Cancer, myeloma#MUC1</t>
  </si>
  <si>
    <t>Cancer, myeloma#NKG2D</t>
  </si>
  <si>
    <t>Cancer, myeloma#NY-ESO-1</t>
  </si>
  <si>
    <t>Cancer, myeloma#PRAME</t>
  </si>
  <si>
    <t>Cancer, myeloma#SLAMF7</t>
  </si>
  <si>
    <t>Cancer, myeloma#SSX2</t>
  </si>
  <si>
    <t>Cancer, myeloma#Survivin</t>
  </si>
  <si>
    <t>Cancer, nasopharyngeal#EBV</t>
  </si>
  <si>
    <t>Cancer, nasopharyngeal#LMP2</t>
  </si>
  <si>
    <t>Cancer, neoplasms#NY-ESO-1+LAGE-1a</t>
  </si>
  <si>
    <t>Cancer, neuroblastoma#B7H3</t>
  </si>
  <si>
    <t>Cancer, neuroblastoma#C7R+GD2</t>
  </si>
  <si>
    <t>Cancer, neuroblastoma#CD171</t>
  </si>
  <si>
    <t>Cancer, neuroblastoma#GD2</t>
  </si>
  <si>
    <t>Cancer, neuroblastoma#PSMA</t>
  </si>
  <si>
    <t>Cancer, oesophageal#CLD18</t>
  </si>
  <si>
    <t>Cancer, oesophageal#HER2</t>
  </si>
  <si>
    <t>Cancer, oesophageal#MAGE-A4</t>
  </si>
  <si>
    <t>Cancer, oesophageal#MUC1</t>
  </si>
  <si>
    <t>Cancer, oesophageal#NY-ESO-1</t>
  </si>
  <si>
    <t>Cancer, ovarian#</t>
  </si>
  <si>
    <t>Cancer, ovarian#CD8 IL-21</t>
  </si>
  <si>
    <t>Cancer, ovarian#HER2</t>
  </si>
  <si>
    <t>Cancer, ovarian#MAGE-A4</t>
  </si>
  <si>
    <t>Cancer, ovarian#MESO</t>
  </si>
  <si>
    <t>Cancer, ovarian#Mesothelin</t>
  </si>
  <si>
    <t>Cancer, ovarian#MUC1</t>
  </si>
  <si>
    <t>Cancer, ovarian#NK</t>
  </si>
  <si>
    <t>Cancer, ovarian#NY-ESO-1</t>
  </si>
  <si>
    <t>Cancer, pancreatic#CEA</t>
  </si>
  <si>
    <t>Cancer, pancreatic#CLD18</t>
  </si>
  <si>
    <t>Cancer, pancreatic#EGFR</t>
  </si>
  <si>
    <t>Cancer, pancreatic#HER2</t>
  </si>
  <si>
    <t>Cancer, pancreatic#KRAS+G12V</t>
  </si>
  <si>
    <t>Cancer, pancreatic#MAGE-A4</t>
  </si>
  <si>
    <t>Cancer, pancreatic#Mesothelin</t>
  </si>
  <si>
    <t>Cancer, pancreatic#MUC1</t>
  </si>
  <si>
    <t>Cancer, pancreatic#NY-ESO-1</t>
  </si>
  <si>
    <t>Cancer, pancreatic#PRAME</t>
  </si>
  <si>
    <t>Cancer, pancreatic#PSCA</t>
  </si>
  <si>
    <t>Cancer, pancreatic#ROBO1</t>
  </si>
  <si>
    <t>Cancer, pancreatic#ROR2</t>
  </si>
  <si>
    <t>Cancer, pancreatic#SSX2</t>
  </si>
  <si>
    <t>Cancer, pancreatic#Survivin</t>
  </si>
  <si>
    <t>Cancer, peritoneal#</t>
  </si>
  <si>
    <t>Cancer, peritoneal#Mesothelin</t>
  </si>
  <si>
    <t>Cancer, peritoneal#NK</t>
  </si>
  <si>
    <t>Cancer, peritoneal#NY-ESO-1</t>
  </si>
  <si>
    <t>Cancer, prostate#PSCA</t>
  </si>
  <si>
    <t>Cancer, prostate#PSMA</t>
  </si>
  <si>
    <t>Cancer, prostate#PSMA+CD3</t>
  </si>
  <si>
    <t>Cancer, renal#CD70</t>
  </si>
  <si>
    <t>Cancer, renal#HERV-E</t>
  </si>
  <si>
    <t>Cancer, renal#PSMA</t>
  </si>
  <si>
    <t>Cancer, renal#ROR2</t>
  </si>
  <si>
    <t>Cancer, rhabdomyosarcoma#MAGE-A4</t>
  </si>
  <si>
    <t>Cancer, rhabdomyosarcoma#NY-ESO-1</t>
  </si>
  <si>
    <t>Cancer, rhabdomyosarcoma#PRAME</t>
  </si>
  <si>
    <t>Cancer, rhabdomyosarcoma#SSX</t>
  </si>
  <si>
    <t>Cancer, rhabdomyosarcoma#Survivin</t>
  </si>
  <si>
    <t>Cancer, sarcoma, lipo#MAGE-A4</t>
  </si>
  <si>
    <t>Cancer, sarcoma, lipo#NY-ESO-1</t>
  </si>
  <si>
    <t>Cancer, sarcoma, synovial#MAGE-A4</t>
  </si>
  <si>
    <t>Cancer, sarcoma, synovial#NY-ESO-1</t>
  </si>
  <si>
    <t>Cancer, sarcoma, unspecified#</t>
  </si>
  <si>
    <t>Cancer, sarcoma, unspecified#B7H3</t>
  </si>
  <si>
    <t>Cancer, sarcoma, unspecified#CD22+PDL1</t>
  </si>
  <si>
    <t>Cancer, sarcoma, unspecified#GD2</t>
  </si>
  <si>
    <t>Cancer, sarcoma, unspecified#HER2</t>
  </si>
  <si>
    <t>Cancer, sarcoma, unspecified#NY-ESO-1</t>
  </si>
  <si>
    <t>Cancer, sarcoma, unspecified#PSMA</t>
  </si>
  <si>
    <t>Cancer, Schwannoma#</t>
  </si>
  <si>
    <t>Cancer, solid, unspecified#</t>
  </si>
  <si>
    <t>Cancer, solid, unspecified#B7H3</t>
  </si>
  <si>
    <t>Cancer, solid, unspecified#c-MET</t>
  </si>
  <si>
    <t>Cancer, solid, unspecified#CD133</t>
  </si>
  <si>
    <t>Cancer, solid, unspecified#CD16+IL-2</t>
  </si>
  <si>
    <t>Cancer, solid, unspecified#CD3</t>
  </si>
  <si>
    <t>Cancer, solid, unspecified#CD44v6</t>
  </si>
  <si>
    <t>Cancer, solid, unspecified#CD7</t>
  </si>
  <si>
    <t>Cancer, solid, unspecified#CEA</t>
  </si>
  <si>
    <t>Cancer, solid, unspecified#CLD18</t>
  </si>
  <si>
    <t>Cancer, solid, unspecified#CLDN6</t>
  </si>
  <si>
    <t>Cancer, solid, unspecified#COL6A3</t>
  </si>
  <si>
    <t>Cancer, solid, unspecified#EGFR</t>
  </si>
  <si>
    <t>Cancer, solid, unspecified#EGFR CD19</t>
  </si>
  <si>
    <t>Cancer, solid, unspecified#GPC3</t>
  </si>
  <si>
    <t>Cancer, solid, unspecified#HER2</t>
  </si>
  <si>
    <t>Cancer, solid, unspecified#HPV-16+E6</t>
  </si>
  <si>
    <t>Cancer, solid, unspecified#HPV-18+E7</t>
  </si>
  <si>
    <t>Cancer, solid, unspecified#HPV16</t>
  </si>
  <si>
    <t>Cancer, solid, unspecified#MAGE-A1</t>
  </si>
  <si>
    <t>Cancer, solid, unspecified#MAGE-A3</t>
  </si>
  <si>
    <t>Cancer, solid, unspecified#MAGE-A3 MAGE-A6</t>
  </si>
  <si>
    <t>Cancer, solid, unspecified#MAGE-A4</t>
  </si>
  <si>
    <t>Cancer, solid, unspecified#MAGE-A4+MAGE-A10</t>
  </si>
  <si>
    <t>Cancer, solid, unspecified#MAGE-A4+MAGE-A8</t>
  </si>
  <si>
    <t>Cancer, solid, unspecified#Mesothelin</t>
  </si>
  <si>
    <t>Cancer, solid, unspecified#MUC16</t>
  </si>
  <si>
    <t>Cancer, solid, unspecified#MXRA5</t>
  </si>
  <si>
    <t>Cancer, solid, unspecified#Nectin4+FAP</t>
  </si>
  <si>
    <t>Cancer, solid, unspecified#NeoE</t>
  </si>
  <si>
    <t>Cancer, solid, unspecified#Non-identified+antigen</t>
  </si>
  <si>
    <t>Cancer, solid, unspecified#NY-ESO-1</t>
  </si>
  <si>
    <t>Cancer, solid, unspecified#PD-L1</t>
  </si>
  <si>
    <t>Cancer, solid, unspecified#PRAME</t>
  </si>
  <si>
    <t>Cancer, solid, unspecified#PSMA</t>
  </si>
  <si>
    <t>Cancer, solid, unspecified#ROBO1</t>
  </si>
  <si>
    <t>Cancer, solid, unspecified#Survivin</t>
  </si>
  <si>
    <t>Cancer, solid, unspecified#WT-1</t>
  </si>
  <si>
    <t>Cancer, stomach#</t>
  </si>
  <si>
    <t>Cancer, stomach#CEA</t>
  </si>
  <si>
    <t>Cancer, stomach#CLD18</t>
  </si>
  <si>
    <t>Cancer, stomach#GUCY2C</t>
  </si>
  <si>
    <t>Cancer, stomach#HER2</t>
  </si>
  <si>
    <t>Cancer, stomach#MAGE-A4</t>
  </si>
  <si>
    <t>Cancer, stomach#Mesothelin</t>
  </si>
  <si>
    <t>Cancer, stomach#ROR2</t>
  </si>
  <si>
    <t>Cancer, thyroid#ICAM1</t>
  </si>
  <si>
    <t>Cancer, unspecified#</t>
  </si>
  <si>
    <t>Cancer, unspecified#CD28</t>
  </si>
  <si>
    <t>Cancer, unspecified#MHC-1</t>
  </si>
  <si>
    <t>Cancer, urothelial#MAGE-A4</t>
  </si>
  <si>
    <t>Cardiomyopathy, dilated#BAG3</t>
  </si>
  <si>
    <t>CDKL5 deficiency#CDKL5</t>
  </si>
  <si>
    <t>Charcot-Marie-Tooth disease#NF3+PMP22</t>
  </si>
  <si>
    <t>Choroideremia#CHM+REP1</t>
  </si>
  <si>
    <t>Chronic granulomatous disease#CYBB</t>
  </si>
  <si>
    <t>Crigler-Najjar syndrome#UGT1A1</t>
  </si>
  <si>
    <t>Cystic fibrosis#CFTR</t>
  </si>
  <si>
    <t>Cystinosis, unspecified#CTNS</t>
  </si>
  <si>
    <t>Danon disease#LAMP-2</t>
  </si>
  <si>
    <t>Dementia, frontotemporal#C9orf72</t>
  </si>
  <si>
    <t>Dementia, frontotemporal#GRN</t>
  </si>
  <si>
    <t>Dementia, frontotemporal#PHF1</t>
  </si>
  <si>
    <t>Dementia, Lewy body#SNCA</t>
  </si>
  <si>
    <t>Diabetes, Type 1#PD-L1+ASC</t>
  </si>
  <si>
    <t>Diabetes, Type 2#UCn2</t>
  </si>
  <si>
    <t>Dystrophy, congenital muscular#LAMA2</t>
  </si>
  <si>
    <t>Dystrophy, Duchenne's muscular#Dystrophin</t>
  </si>
  <si>
    <t>Dystrophy, Duchenne's muscular#GALGT2</t>
  </si>
  <si>
    <t>Dystrophy, Duchenne's muscular#U7snRNA</t>
  </si>
  <si>
    <t>Dystrophy, limb-girdle muscular#ANO5</t>
  </si>
  <si>
    <t>Dystrophy, limb-girdle muscular#CAPN-3</t>
  </si>
  <si>
    <t>Dystrophy, limb-girdle muscular#DYSF</t>
  </si>
  <si>
    <t>Dystrophy, limb-girdle muscular#FKRP</t>
  </si>
  <si>
    <t>Dystrophy, limb-girdle muscular#SGCA</t>
  </si>
  <si>
    <t>Dystrophy, limb-girdle muscular#SGCB</t>
  </si>
  <si>
    <t>Dystrophy, limb-girdle muscular#SGCG</t>
  </si>
  <si>
    <t>Epidermolysis bullosa, dystrophic, recessive#COL7A1</t>
  </si>
  <si>
    <t>Epidermolysis bullosa, junctional#COL17A1</t>
  </si>
  <si>
    <t>Epilepsy, unspecified#NPY+Y2</t>
  </si>
  <si>
    <t>Fabry's disease#GLA</t>
  </si>
  <si>
    <t>Fragile-X syndrome#DGKK</t>
  </si>
  <si>
    <t>Gaucher's disease#GBA</t>
  </si>
  <si>
    <t>Glycogen storage disease, Type I#G6PC</t>
  </si>
  <si>
    <t>Glycogen storage disease, Type II#GAA</t>
  </si>
  <si>
    <t>GM1 gangliosidosis#GLB1</t>
  </si>
  <si>
    <t>Haemolytic uraemic syndrome#CFH</t>
  </si>
  <si>
    <t>Haemophilia A#hFVIII</t>
  </si>
  <si>
    <t>Haemophilia B#hFIX</t>
  </si>
  <si>
    <t>Hearing loss#Hath1</t>
  </si>
  <si>
    <t>Hearing loss#OTOF</t>
  </si>
  <si>
    <t>Heart failure#S100A1+SDF-1α+VEGF165</t>
  </si>
  <si>
    <t>Heart failure#T35D</t>
  </si>
  <si>
    <t>Heart failure#UCn2</t>
  </si>
  <si>
    <t>Heart failure#Undisclosed</t>
  </si>
  <si>
    <t>Hepatic dysfunction, alpha-1 antitrypsin deficiency related#SERPINA1</t>
  </si>
  <si>
    <t>Hepatic dysfunction, primary hyperoxaluria, Type 1#AGXT</t>
  </si>
  <si>
    <t>Homozygous familial hypercholesterolaemia#LDLR</t>
  </si>
  <si>
    <t>Huntington's disease#CYP46A1</t>
  </si>
  <si>
    <t>Huntington's disease#HTT</t>
  </si>
  <si>
    <t>Huntington's disease#NEUROD1</t>
  </si>
  <si>
    <t>Hyperphenylalaninaemia#PAH</t>
  </si>
  <si>
    <t>Hypertension, pulmonary#UCn2</t>
  </si>
  <si>
    <t>Ichthyosis#TGM1</t>
  </si>
  <si>
    <t>Immune dysregulation, polyendocrinopathy, X-linked syndrome#FOXP3</t>
  </si>
  <si>
    <t>Infarction, myocardial#HGF</t>
  </si>
  <si>
    <t>Ischaemia, cerebral#NEUROD1</t>
  </si>
  <si>
    <t>Leber's congenital amaurosis#AIPL1</t>
  </si>
  <si>
    <t>Leber's congenital amaurosis#CEP290</t>
  </si>
  <si>
    <t>Leber's congenital amaurosis#NR2E3</t>
  </si>
  <si>
    <t>Leber's congenital amaurosis#RPE65</t>
  </si>
  <si>
    <t>Leber's hereditary optic neuropathy#ND1</t>
  </si>
  <si>
    <t>Leber's hereditary optic neuropathy#ND4</t>
  </si>
  <si>
    <t>Leber's hereditary optic neuropathy#P1ND4v2</t>
  </si>
  <si>
    <t>Leukocyte adhesion deficiency#ITGB2</t>
  </si>
  <si>
    <t>Leukodystrophy, globoid cell#GALC</t>
  </si>
  <si>
    <t>Leukodystrophy, metachromatic#ARSA</t>
  </si>
  <si>
    <t>Lupus erythematosus, systemic#CAR-Treg</t>
  </si>
  <si>
    <t>Macular degeneration, age-related, dry#CFI</t>
  </si>
  <si>
    <t>Macular degeneration, age-related, dry#EIAV+Endostatin+Angiostatin</t>
  </si>
  <si>
    <t>Macular degeneration, age-related, dry#RORA</t>
  </si>
  <si>
    <t>Macular degeneration, age-related, dry#sCD59</t>
  </si>
  <si>
    <t>Macular degeneration, age-related, dry#Undisclosed</t>
  </si>
  <si>
    <t>Macular degeneration, age-related, wet#anti-VEGF</t>
  </si>
  <si>
    <t>Macular degeneration, age-related, wet#sCD59</t>
  </si>
  <si>
    <t>Macular degeneration, age-related, wet#VEGF-Fc</t>
  </si>
  <si>
    <t>Macular degeneration, Best vitelliform#BEST1</t>
  </si>
  <si>
    <t>Macular degeneration, juvenile, Stargardt's Disease#ABCA4</t>
  </si>
  <si>
    <t>Macular edema, diabetic#VEGF-Fc</t>
  </si>
  <si>
    <t>Malignant pleural effusion#Mesothelin</t>
  </si>
  <si>
    <t>Menkes disease#ATP7A</t>
  </si>
  <si>
    <t>Methylmalonic acidaemia#MMUT</t>
  </si>
  <si>
    <t>Mucopolysaccharidosis, Type I#IDUA</t>
  </si>
  <si>
    <t>Mucopolysaccharidosis, Type II#IDS</t>
  </si>
  <si>
    <t>Mucopolysaccharidosis, Type IIIA#SGSH</t>
  </si>
  <si>
    <t>Mucopolysaccharidosis, Type IIIB#NAGLU</t>
  </si>
  <si>
    <t>Mucopolysaccharidosis, Type VI#ARSB</t>
  </si>
  <si>
    <t>Multiple sclerosis, unspecified#Klotho</t>
  </si>
  <si>
    <t>Multiple sclerosis, unspecified#PD-L1+ASC</t>
  </si>
  <si>
    <t>Multiple system atrophy#SNCA+COQ2</t>
  </si>
  <si>
    <t>Muscular atrophy, spinal#SMN1</t>
  </si>
  <si>
    <t>Myelodysplastic syndrome#BCMA+CD19+CD22+CD79</t>
  </si>
  <si>
    <t>Myelodysplastic syndrome#CD117</t>
  </si>
  <si>
    <t>Myelodysplastic syndrome#CD123</t>
  </si>
  <si>
    <t>Myelodysplastic syndrome#CD33</t>
  </si>
  <si>
    <t>Myelodysplastic syndrome#CD34</t>
  </si>
  <si>
    <t>Myelodysplastic syndrome#CD38</t>
  </si>
  <si>
    <t>Myelodysplastic syndrome#CD56</t>
  </si>
  <si>
    <t>Myelodysplastic syndrome#CLL1 CD33</t>
  </si>
  <si>
    <t>Myelodysplastic syndrome#HA1H</t>
  </si>
  <si>
    <t>Myelodysplastic syndrome#MUC1</t>
  </si>
  <si>
    <t>Myelodysplastic syndrome#NKG2D</t>
  </si>
  <si>
    <t>Myelodysplastic syndrome#NY-ESO-1</t>
  </si>
  <si>
    <t>Myelodysplastic syndrome#PRAME</t>
  </si>
  <si>
    <t>Myelodysplastic syndrome#Survivin</t>
  </si>
  <si>
    <t>Myelodysplastic syndrome#WT-1</t>
  </si>
  <si>
    <t>Myotubular myopathy, x-linked#MTM1</t>
  </si>
  <si>
    <t>Netherton's syndrome#SPINK5</t>
  </si>
  <si>
    <t>Neuromyelitis Optica#BCMA</t>
  </si>
  <si>
    <t>Neuropathy, diabetic#HGF</t>
  </si>
  <si>
    <t>Niemann-Pick disease#NPC1</t>
  </si>
  <si>
    <t>Ornithine transcarbamylase deficiency#OTC</t>
  </si>
  <si>
    <t>Osteopetrosis#TCIRG1</t>
  </si>
  <si>
    <t>Overactive bladder#hMax-K</t>
  </si>
  <si>
    <t>Parkinson's disease#AADC</t>
  </si>
  <si>
    <t>Parkinson's disease#GBA1</t>
  </si>
  <si>
    <t>Parkinson's disease#GDNF</t>
  </si>
  <si>
    <t>Parkinson's disease#NEUROD1</t>
  </si>
  <si>
    <t>Parkinson's disease#SNCA+COQ2</t>
  </si>
  <si>
    <t>Parkinson's disease#TH+AADC+GCH1</t>
  </si>
  <si>
    <t>Paroxysmal nocturnal haemoglobinuria#PIGA</t>
  </si>
  <si>
    <t>Pemphigus#DSG1+DSG3</t>
  </si>
  <si>
    <t>Pemphigus#DSG3</t>
  </si>
  <si>
    <t>Peripheral vascular disease#FGF2</t>
  </si>
  <si>
    <t>Peripheral vascular disease#HGF</t>
  </si>
  <si>
    <t>POEMS syndrome#CD19+BCMA</t>
  </si>
  <si>
    <t>Progressive familial intrahepatic cholestasis#ABCB4</t>
  </si>
  <si>
    <t>Progressive supranuclear palsy#PHF1</t>
  </si>
  <si>
    <t>Pyruvate kinase deficiency#PKLR</t>
  </si>
  <si>
    <t>Retinitis pigmentosa#ChronosFP</t>
  </si>
  <si>
    <t>Retinitis pigmentosa#CNTF</t>
  </si>
  <si>
    <t>Retinitis pigmentosa#OPN4</t>
  </si>
  <si>
    <t>Retinitis pigmentosa#PDE6B</t>
  </si>
  <si>
    <t>Retinitis pigmentosa#RdCVF</t>
  </si>
  <si>
    <t>Retinitis pigmentosa#RHO</t>
  </si>
  <si>
    <t>Retinitis pigmentosa#RLBP1</t>
  </si>
  <si>
    <t>Retinitis pigmentosa#RPE65</t>
  </si>
  <si>
    <t>Retinitis pigmentosa, x-linked#RPGR</t>
  </si>
  <si>
    <t>Retinopathy, diabetic#anti-VEGF</t>
  </si>
  <si>
    <t>Retinoschisis, x-linked#RS1</t>
  </si>
  <si>
    <t>Rett Syndrome#MECP2</t>
  </si>
  <si>
    <t>SCID, ADA#ADA</t>
  </si>
  <si>
    <t>SCID, artemis#DCLRE1C</t>
  </si>
  <si>
    <t>SCID, x-linked#IL2RG+γc</t>
  </si>
  <si>
    <t>Scleroderma#MMP-1</t>
  </si>
  <si>
    <t>Sickle cell disease#BCL11A</t>
  </si>
  <si>
    <t>Sickle cell disease#HBB</t>
  </si>
  <si>
    <t>Sickle cell disease#Y-Globin</t>
  </si>
  <si>
    <t>Thalassaemia, Beta#BCL11A</t>
  </si>
  <si>
    <t>Thalassaemia, Beta#HBB</t>
  </si>
  <si>
    <t>Transplant rejection, organ#CAR-Treg</t>
  </si>
  <si>
    <t>Traumatic brain injury#CAV1</t>
  </si>
  <si>
    <t>Ulcer, diabetic#HGF</t>
  </si>
  <si>
    <t>Usher syndrome#USH2A</t>
  </si>
  <si>
    <t>Wilson's disease#ATP7B</t>
  </si>
  <si>
    <t>Wiskott-Aldrich syndrome#WAS</t>
  </si>
  <si>
    <t>Wound healing#COL3A1</t>
  </si>
  <si>
    <t>Xerostomia#AQP1</t>
  </si>
  <si>
    <t>Total Incidence</t>
  </si>
  <si>
    <t>Total Prevalence</t>
  </si>
  <si>
    <t>Eligible Incidence</t>
  </si>
  <si>
    <t>Eligible Prevalence</t>
  </si>
  <si>
    <t>Step 1: Please select the relevant indication in the green pull-down menus</t>
  </si>
  <si>
    <t>Therapy Product Cost per Patient</t>
  </si>
  <si>
    <t>Total costs estimate</t>
  </si>
  <si>
    <t>DEFINITIONS:</t>
  </si>
  <si>
    <r>
      <rPr>
        <b/>
        <sz val="11"/>
        <color theme="1"/>
        <rFont val="Calibri"/>
        <family val="2"/>
        <scheme val="minor"/>
      </rPr>
      <t>Indicating a sub population of "All"</t>
    </r>
    <r>
      <rPr>
        <sz val="11"/>
        <color theme="1"/>
        <rFont val="Calibri"/>
        <family val="2"/>
        <scheme val="minor"/>
      </rPr>
      <t xml:space="preserve"> results in the total population with the indicated disease/condition.</t>
    </r>
  </si>
  <si>
    <r>
      <rPr>
        <b/>
        <sz val="11"/>
        <color theme="1"/>
        <rFont val="Calibri"/>
        <family val="2"/>
        <scheme val="minor"/>
      </rPr>
      <t xml:space="preserve">Indication a sub population other than "All" </t>
    </r>
    <r>
      <rPr>
        <sz val="11"/>
        <color theme="1"/>
        <rFont val="Calibri"/>
        <family val="2"/>
        <scheme val="minor"/>
      </rPr>
      <t xml:space="preserve">will provide estimates of incidence and prevalence for the clinically relevant population. </t>
    </r>
  </si>
  <si>
    <t>High Level Estimation Methodology</t>
  </si>
  <si>
    <t>A synthesis of the approach to establish these estimates is found here.         https://payingforcures.mit.edu/toolkit-estimation-methodology/</t>
  </si>
  <si>
    <t xml:space="preserve">durable, potentially curative therapies in the United State that provides the data used in the Payer- Individual Indication Workbook.  </t>
  </si>
  <si>
    <t>US Population - 2020 Census data</t>
  </si>
  <si>
    <t xml:space="preserve"> Population Size Adjustments</t>
  </si>
  <si>
    <t>Questions to consider for modifying use by the treatment eligible population.</t>
  </si>
  <si>
    <t>Plan-specific Incidence</t>
  </si>
  <si>
    <t>Plan-specific prevalence</t>
  </si>
  <si>
    <t xml:space="preserve">This section makes adjustments to reflect that modification of incidence and prevalence within the US population.  </t>
  </si>
  <si>
    <t>Therapy Cost Assumptions</t>
  </si>
  <si>
    <t>Step 1.  Enter therapy costs with optional adjustments</t>
  </si>
  <si>
    <r>
      <t xml:space="preserve">Name of Therapy / Product Name   </t>
    </r>
    <r>
      <rPr>
        <i/>
        <sz val="9"/>
        <color theme="1"/>
        <rFont val="Calibri"/>
        <family val="2"/>
        <scheme val="minor"/>
      </rPr>
      <t>(Optional)</t>
    </r>
  </si>
  <si>
    <t>Contract related adjustments</t>
  </si>
  <si>
    <t>Why does this matter?  Plans cannot always predict how many patients they will have on a particular therapy.  Actuarial volatility makes it harder for a plan to predict what its costs will be and therefore creates greater risk for the plan that the costs will not be covered by its premiums.  The estimate below represents a likely maximum cost in an outlier situation.</t>
  </si>
  <si>
    <t>Select diseases/conditions are more commonly associated with lives covered under Medicare or Medicaid.</t>
  </si>
  <si>
    <t>Payer Type Adjustment</t>
  </si>
  <si>
    <t>Please enter your estimated therapy cost per patient.  See definitions in Column A for details</t>
  </si>
  <si>
    <t>Financial Risk Assessment</t>
  </si>
  <si>
    <r>
      <t>Based on the assessment choices you make, the Solution Prioritization Tool will su</t>
    </r>
    <r>
      <rPr>
        <sz val="11"/>
        <rFont val="Calibri"/>
        <family val="2"/>
        <scheme val="minor"/>
      </rPr>
      <t>ggest preferred financing solutions.</t>
    </r>
  </si>
  <si>
    <t>Results Summary</t>
  </si>
  <si>
    <t>Probability of One Patient for condition</t>
  </si>
  <si>
    <t xml:space="preserve">PMPM Impact of one patient </t>
  </si>
  <si>
    <t xml:space="preserve">Expected Outcome </t>
  </si>
  <si>
    <t xml:space="preserve"> PMPM</t>
  </si>
  <si>
    <r>
      <t xml:space="preserve">              </t>
    </r>
    <r>
      <rPr>
        <sz val="12"/>
        <color theme="0"/>
        <rFont val="Calibri"/>
        <family val="2"/>
        <scheme val="minor"/>
      </rPr>
      <t xml:space="preserve"> x  </t>
    </r>
    <r>
      <rPr>
        <sz val="11"/>
        <color theme="1"/>
        <rFont val="Calibri"/>
        <family val="2"/>
        <scheme val="minor"/>
      </rPr>
      <t xml:space="preserve">   </t>
    </r>
  </si>
  <si>
    <t>The Solution Prioritization Tool is intended as an aide to narrowing the precision financing solutions identified by the FoCUS Consortium for addressing different financing risks.</t>
  </si>
  <si>
    <t xml:space="preserve">Note, that these estimates are based on any additional treatment costs or any cost-offsets from existing therapies or rebates entered into the Therapy Impact Model. </t>
  </si>
  <si>
    <t xml:space="preserve">You may wish to consider evaluation of product alone if uncertainty exists around these cost or cost-offsets in future years.   </t>
  </si>
  <si>
    <t>Real world efficacy and durability are expected to be uncertain for a number of these therapies at the time of initial regulatory approval and market launch.  Your plan may desire</t>
  </si>
  <si>
    <t xml:space="preserve">in the financial tools.  </t>
  </si>
  <si>
    <t>Payer Financial Assessment</t>
  </si>
  <si>
    <t>Needs Determination / Potential Solutions</t>
  </si>
  <si>
    <t xml:space="preserve">Is organization able to manage indication's financial impact with current strategy? </t>
  </si>
  <si>
    <t xml:space="preserve">Does organization desire to address therapeutic performance risk? </t>
  </si>
  <si>
    <t>Assessment recommendations</t>
  </si>
  <si>
    <t>Milestone based agreement (MBA)</t>
  </si>
  <si>
    <t xml:space="preserve">True if Q1 and Q3 = yes </t>
  </si>
  <si>
    <t>Multi-year milestone based agreement</t>
  </si>
  <si>
    <t>MBA with additional finance solution</t>
  </si>
  <si>
    <t>True if Q1 =  no, and Q3 = yes</t>
  </si>
  <si>
    <t>True if Q1 and  Q3 = yes</t>
  </si>
  <si>
    <t>Warranty with additional finance solution</t>
  </si>
  <si>
    <t>Payment over time/installment payments</t>
  </si>
  <si>
    <t>True if Q1 and Q3 = no</t>
  </si>
  <si>
    <t>Performance based annuity</t>
  </si>
  <si>
    <t>True if Q1= No, Q3 = Yes</t>
  </si>
  <si>
    <t>Subscription Model</t>
  </si>
  <si>
    <t>True if Q1 and Q3 = no and Q2= yes</t>
  </si>
  <si>
    <t>Performance based subscription model</t>
  </si>
  <si>
    <t>True if Q1 = no, Q2 and Q3 = Yes</t>
  </si>
  <si>
    <t>Stop-Loss / Reinsurance</t>
  </si>
  <si>
    <t>True if Q1, Q2 and Q3 = No</t>
  </si>
  <si>
    <t>Stop-Loss / Reinsurance w/ MBA or Warranty</t>
  </si>
  <si>
    <t>True if Q1 and Q2 = No, Q3 = Yes</t>
  </si>
  <si>
    <t>Therapy specific risk pools</t>
  </si>
  <si>
    <t>Therapy specific risk pools w/ MBA or warranty</t>
  </si>
  <si>
    <t>Medicare Eligible  Incidence %</t>
  </si>
  <si>
    <t>Medicare Eligible  Prevalence %</t>
  </si>
  <si>
    <t>Medicaid Eligible  Incidence %</t>
  </si>
  <si>
    <t>Medicaid Eligible  Prevalence %</t>
  </si>
  <si>
    <t>Other Eligible  Incidence %</t>
  </si>
  <si>
    <t>Other Eligible  Prevalence %</t>
  </si>
  <si>
    <t>Selection for payer types</t>
  </si>
  <si>
    <t>Medicare</t>
  </si>
  <si>
    <t>Medicaid</t>
  </si>
  <si>
    <t>Population Incidence %</t>
  </si>
  <si>
    <t>Population Prevalence %</t>
  </si>
  <si>
    <t>Selected</t>
  </si>
  <si>
    <t>Plan specific incidence and prevalence</t>
  </si>
  <si>
    <t>Not Medicare or Medicaid</t>
  </si>
  <si>
    <t>Price Code</t>
  </si>
  <si>
    <t>Select
Total Incidence = 1
Eligible Incidence = 2</t>
  </si>
  <si>
    <t>General Population</t>
  </si>
  <si>
    <t>Total Cost ($millions)</t>
  </si>
  <si>
    <t xml:space="preserve">Cost of Therapy </t>
  </si>
  <si>
    <t>Population</t>
  </si>
  <si>
    <t>Plan Type</t>
  </si>
  <si>
    <t>Code</t>
  </si>
  <si>
    <t>Incidence column</t>
  </si>
  <si>
    <t>Prevalence column</t>
  </si>
  <si>
    <t xml:space="preserve">Step 2: Customize the tool to reflect payer type </t>
  </si>
  <si>
    <t xml:space="preserve"> Select an Indication</t>
  </si>
  <si>
    <t>Total US
 Incidence Estimate</t>
  </si>
  <si>
    <t>Total US
 Incidence per 100,000</t>
  </si>
  <si>
    <t>Total US
Prevalence per 100,000</t>
  </si>
  <si>
    <t>Adjusted Plan-specific 
Total Prevalence 
Estimate</t>
  </si>
  <si>
    <t>Adjusted Plan-specific
 Total Incidence</t>
  </si>
  <si>
    <t>Select payer type from green 
pull-down menu below</t>
  </si>
  <si>
    <t xml:space="preserve">  Note - this cell should be filled in with a negative number as rebates and excess loss insurance decrease payer costs. </t>
  </si>
  <si>
    <t>Prevalent Population</t>
  </si>
  <si>
    <t>Step One - Assessment of actuarial, payment timing and performance risks</t>
  </si>
  <si>
    <t xml:space="preserve">Step 2 - Model solutions based on financial assessment </t>
  </si>
  <si>
    <t xml:space="preserve">Step 1 answers for actuarial, payment timing and performance risks should collectively inform your strategy and assessment of the need for new financing solutions. The following three questions are used to suggest potential financial solutions to fit your needs.  Solution requirements of the payer provides a high level assessment of the capabilities/resources needed to implement the financial solution.  </t>
  </si>
  <si>
    <t>Solution Implementation Requirements for Payer</t>
  </si>
  <si>
    <t>Data        collection</t>
  </si>
  <si>
    <t>Developer contract</t>
  </si>
  <si>
    <t>Clinical Coordination</t>
  </si>
  <si>
    <t>Patient      Mobility</t>
  </si>
  <si>
    <t>Provider Contracts</t>
  </si>
  <si>
    <t>Warranty - Stand alone  (note - data collection by OBCA)</t>
  </si>
  <si>
    <t xml:space="preserve">*TBD - Solution requirements depend on the finance solution selected. </t>
  </si>
  <si>
    <r>
      <t xml:space="preserve">It may not be efficient for </t>
    </r>
    <r>
      <rPr>
        <i/>
        <sz val="12"/>
        <color rgb="FF878787"/>
        <rFont val="Calibri"/>
        <family val="2"/>
        <scheme val="minor"/>
      </rPr>
      <t>all</t>
    </r>
    <r>
      <rPr>
        <sz val="12"/>
        <color rgb="FF878787"/>
        <rFont val="Calibri"/>
        <family val="2"/>
        <scheme val="minor"/>
      </rPr>
      <t xml:space="preserve"> payer organizations to build capabilities </t>
    </r>
    <r>
      <rPr>
        <i/>
        <sz val="12"/>
        <color rgb="FF878787"/>
        <rFont val="Calibri"/>
        <family val="2"/>
        <scheme val="minor"/>
      </rPr>
      <t>internally</t>
    </r>
    <r>
      <rPr>
        <sz val="12"/>
        <color rgb="FF878787"/>
        <rFont val="Calibri"/>
        <family val="2"/>
        <scheme val="minor"/>
      </rPr>
      <t xml:space="preserve"> to serve patients treated with durable therapies or to establish their own contracts with treating providers and developers. Market solutions are emerging to efficiently address the required capabilities.  </t>
    </r>
  </si>
  <si>
    <r>
      <t xml:space="preserve">A </t>
    </r>
    <r>
      <rPr>
        <b/>
        <sz val="12"/>
        <color rgb="FF878787"/>
        <rFont val="Calibri"/>
        <family val="2"/>
        <scheme val="minor"/>
      </rPr>
      <t>Supplier Evaluation template</t>
    </r>
    <r>
      <rPr>
        <sz val="12"/>
        <color rgb="FF878787"/>
        <rFont val="Calibri"/>
        <family val="2"/>
        <scheme val="minor"/>
      </rPr>
      <t xml:space="preserve"> has been developed to help a payer evaluate gene and cell therapy service products and the organizations administering them. </t>
    </r>
  </si>
  <si>
    <t>Click here for the template.</t>
  </si>
  <si>
    <t>Treated Prevalent Population</t>
  </si>
  <si>
    <t>Starting Incident Population</t>
  </si>
  <si>
    <t>Treated Incident Population</t>
  </si>
  <si>
    <t>Total Treated Population</t>
  </si>
  <si>
    <t>Below you can see a) the possible cost of therapy in aggregate and PMPM by year (given expected variability), b) the "likely maximum cost" given confidence intervals, and c) the cost of treating one patient (important for smaller plans infrequently having a patient).</t>
  </si>
  <si>
    <t>Freeze to show expected values? Y/N?</t>
  </si>
  <si>
    <t>Volatility Calculation</t>
  </si>
  <si>
    <t>Logic Table 3 -Solution Prioritization</t>
  </si>
  <si>
    <t>Ultra-orphan</t>
  </si>
  <si>
    <t>Orphan</t>
  </si>
  <si>
    <t>High Prevalence</t>
  </si>
  <si>
    <t>CAR-T/TCR</t>
  </si>
  <si>
    <t>Osteoarthritis</t>
  </si>
  <si>
    <t>Therapeutic Category</t>
  </si>
  <si>
    <t>Ultra-Orphan</t>
  </si>
  <si>
    <t>Note: It is recommended to indicate lives within the payer type segment selected in step 2.  "General Population" payer type should be used if analyzing multiple lines of business concurrently.</t>
  </si>
  <si>
    <t>Market Penetration Adjustments</t>
  </si>
  <si>
    <t xml:space="preserve">Payers may wish to make adjustments for the difference between the clinically eligible/relevant TREATABLE population and those that are likely to be TREATED. </t>
  </si>
  <si>
    <t xml:space="preserve">% Treatment Eligible Population Expected to be Treated </t>
  </si>
  <si>
    <t>This workbook is intended to provide a simple model that helps users see how a durable therapy may impact their business and what risks may need to be considered and countered.</t>
  </si>
  <si>
    <t>Uptake/Adoption Curve</t>
  </si>
  <si>
    <t>Step 2.  Estimate the rate of adoption of therapy use for patients likely to be treated</t>
  </si>
  <si>
    <t xml:space="preserve">FoCUS precision financing solutions vary in their ability to address key challenges associated with cell and gene therapies.  </t>
  </si>
  <si>
    <t xml:space="preserve">Blue circles represent the proportion of the associated challenge (payment timing, performance, actuarial risk) addressed by the precision financing solution.  A full blue circle indicates the challenge is fully addressed; an empty circle indicate this solution has not addressed the challenge. </t>
  </si>
  <si>
    <t>If managed Medicaid have to negotiate with KAHA like person to pull it out and contract for it directly</t>
  </si>
  <si>
    <t>Are there carve outs for the expensive drugs</t>
  </si>
  <si>
    <t>financial risk be shared with the developer regarding the product's performance.  Various performance guarantee arrangements between payers and developers have been included</t>
  </si>
  <si>
    <t xml:space="preserve">Are potential patients identifiable (e.g. individuals living with a conditions such as  hemophilia)?  </t>
  </si>
  <si>
    <t>Possible Outcomes - these values will change as Excel recalculates, giving insight into the likely range of actuarial volatility. Recalculate using F9</t>
  </si>
  <si>
    <t>Costs from Pipeline Analysis Model</t>
  </si>
  <si>
    <t>Ophthalmological (genetic)</t>
  </si>
  <si>
    <t>Ophthalmological (non-genetic)</t>
  </si>
  <si>
    <t>D</t>
  </si>
  <si>
    <t>E</t>
  </si>
  <si>
    <t>F</t>
  </si>
  <si>
    <t>G</t>
  </si>
  <si>
    <t>H</t>
  </si>
  <si>
    <t>I</t>
  </si>
  <si>
    <t>J</t>
  </si>
  <si>
    <t>K</t>
  </si>
  <si>
    <t>L</t>
  </si>
  <si>
    <t>M</t>
  </si>
  <si>
    <t>Formula for Menu 2</t>
  </si>
  <si>
    <t>Menu 2 last row</t>
  </si>
  <si>
    <t>Menu 2 column</t>
  </si>
  <si>
    <t>Menu 2 start</t>
  </si>
  <si>
    <t>Menu 2 end</t>
  </si>
  <si>
    <t>Menu 2 array address</t>
  </si>
  <si>
    <t>Menu 3 array address</t>
  </si>
  <si>
    <t>of the Descriminator array</t>
  </si>
  <si>
    <t>First</t>
  </si>
  <si>
    <t>Last</t>
  </si>
  <si>
    <t>Total</t>
  </si>
  <si>
    <t>Life Expectancy</t>
  </si>
  <si>
    <t>Quality of Life</t>
  </si>
  <si>
    <t>Social Cost</t>
  </si>
  <si>
    <t>Therapeutic Options</t>
  </si>
  <si>
    <t>Therapeutic cost (annual)</t>
  </si>
  <si>
    <t>Masjor Symptoms</t>
  </si>
  <si>
    <t>Long Term Comorbidities</t>
  </si>
  <si>
    <t>References</t>
  </si>
  <si>
    <t>Scale 1-5</t>
  </si>
  <si>
    <t>Peak %</t>
  </si>
  <si>
    <t xml:space="preserve"> Years to Peak</t>
  </si>
  <si>
    <t>Normal</t>
  </si>
  <si>
    <t>Total color blindness</t>
  </si>
  <si>
    <t>Non-advancing</t>
  </si>
  <si>
    <t>https://medlineplus.gov/genetics/condition/achromatopsia/</t>
  </si>
  <si>
    <t>glucocorticoids and mineralocorticoid replacement.  Fludrocortisone</t>
  </si>
  <si>
    <t>Drugs, $326; total, $7,677</t>
  </si>
  <si>
    <t>Bone advancement, obesity, mental retardation, central precocious puberty</t>
  </si>
  <si>
    <t>https://www.hindawi.com/journals/ijpedi/2018/1739831/</t>
  </si>
  <si>
    <t>https://www.ncbi.nlm.nih.gov/pmc/articles/PMC5686625/</t>
  </si>
  <si>
    <t>https://www.unboundmedicine.com/5minute/view/Select-5-Minute-Pediatric-Consult/14038/all/Primary_Adrenal_Insufficiency</t>
  </si>
  <si>
    <t>Hematopoietic stem cell transplant</t>
  </si>
  <si>
    <t>$409,600 ($892,700)</t>
  </si>
  <si>
    <t>Loss of communication, cortical blindness, tube feeding, total incontinence, wheelchair dependence, complete loss of voluntary movement</t>
  </si>
  <si>
    <t>https://www.orpha.net/consor/cgi-bin/OC_Exp.php?Expert=43#:~:text=X%2DALD%20is%20the%20most,been%20reported%20throughout%20the%20world.</t>
  </si>
  <si>
    <t>Fatal</t>
  </si>
  <si>
    <t>Assumed individual funding</t>
  </si>
  <si>
    <t>Death</t>
  </si>
  <si>
    <t>PiZZ - 60 (15% liver; Smokers)</t>
  </si>
  <si>
    <t>Augmentation therapy</t>
  </si>
  <si>
    <t>Emphasema; Often undiagnosed (10%)
Liver damage (see: Hepatic disfunction,  alpha-1 antitrypsin deficiency related)</t>
  </si>
  <si>
    <t>COPD</t>
  </si>
  <si>
    <t>https://www.ncbi.nlm.nih.gov/pmc/articles/PMC6373584/</t>
  </si>
  <si>
    <t>https://www.unboundmedicine.com/5minute/view/Select-5-Minute-Pediatric-Consult/14002/all/Alpha_1_Antitrypsin_Deficiency</t>
  </si>
  <si>
    <t>https://www.ncbi.nlm.nih.gov/pmc/articles/PMC5780543/</t>
  </si>
  <si>
    <t>https://erj.ersjournals.com/content/50/3/1700198</t>
  </si>
  <si>
    <t>https://www.ajmc.com/view/costs-for-patients-with-alpha1-antitrypsin-form-of-copd-are-higher-study-says#:~:text=However%2C%20the%20annual%20costs%20of,had%20a%20diagnosis%20of%20COPD.</t>
  </si>
  <si>
    <t>Dementia</t>
  </si>
  <si>
    <t>Progressive loss of brain function</t>
  </si>
  <si>
    <t>https://medlineplus.gov/genetics/condition/alzheimer-disease/</t>
  </si>
  <si>
    <t>Onpattro (Patisiran)
Tegsedi (Inotersen) 
Vyndamax/Vyndaqel (Tafamidis)</t>
  </si>
  <si>
    <t>$103,047-$412,188 (20kg-80kg) 
$469,716 
$235,008</t>
  </si>
  <si>
    <t>Amyliod buildup; Neuropathy, Cardiac 60+</t>
  </si>
  <si>
    <t>Cardiac 60+</t>
  </si>
  <si>
    <t>http://www.amyloidosis.org/wp-content/uploads/2017/05/2017-ATTR-guide.pdf</t>
  </si>
  <si>
    <t>https://icer-review.org/wp-content/uploads/2018/02/ICER_Amyloidosis_Final_Evidence_Report_101718.pdf</t>
  </si>
  <si>
    <t>https://rarediseases.info.nih.gov/diseases/656/familial-transthyretin-amyloidosis</t>
  </si>
  <si>
    <t>Palliative
Riluzole (Rilutek)
Edaravone (Radicava)</t>
  </si>
  <si>
    <t>$300-$3,000
$145,500</t>
  </si>
  <si>
    <t>Muscle twitching, cramping, stiffness, or weakness, dysarthria, dysphagia. Progressive muscle weakening.</t>
  </si>
  <si>
    <t>Rapidly degenerative</t>
  </si>
  <si>
    <t>https://medlineplus.gov/genetics/condition/amyotrophic-lateral-sclerosis/</t>
  </si>
  <si>
    <t>Hematopoietic stem cell transplant; 
G-CSF; 
androgens</t>
  </si>
  <si>
    <t xml:space="preserve">$409,600 ($892,700)
</t>
  </si>
  <si>
    <t>Deficient bone marrow; birth defects</t>
  </si>
  <si>
    <t>https://www.milliman.com/en/Insight/2017-US-organ-and-tissue-transplant-cost-estimates-and-discussion</t>
  </si>
  <si>
    <t>https://medlineplus.gov/genetics/condition/fanconi-anemia/</t>
  </si>
  <si>
    <t>https://www.omim.org/entry/227650?search=Anaemia%2C%20aplastic%2C%20Fanconi%27s&amp;highlight=anaemia%20aplastic%20fanconi#populationGenetics</t>
  </si>
  <si>
    <t>Palliative to symptoms</t>
  </si>
  <si>
    <t>$50,000 (Down Syndrome as proxy)</t>
  </si>
  <si>
    <t>Seizures; anxiety, gastrointestinal issues, sleep</t>
  </si>
  <si>
    <t>https://medlineplus.gov/genetics/condition/angelman-syndrome/</t>
  </si>
  <si>
    <t>https://www.ncbi.nlm.nih.gov/pmc/articles/PMC3858577/</t>
  </si>
  <si>
    <t>https://ojrd.biomedcentral.com/articles/10.1186/s13023-017-0716-z</t>
  </si>
  <si>
    <t>https://europepmc.org/article/med/31684986</t>
  </si>
  <si>
    <t>Near normal</t>
  </si>
  <si>
    <t>Nitrates, Beta-blockers, Calcium channel blockers
Angioplasty/stents
CABG</t>
  </si>
  <si>
    <t>Low
$25,845 (5 years - $56,860), 
$123,000-$151,000</t>
  </si>
  <si>
    <t>Chest pain, fatigue, sweating, nausea, dizziness</t>
  </si>
  <si>
    <t>https://heart.bmj.com/content/92/2/177</t>
  </si>
  <si>
    <t>Angioedema, hereditary</t>
  </si>
  <si>
    <t>Cinryze (C1-esterase inhibitor), 
Firazyr (Icatibant - B2 bradykinin receptor antagonist), 
Takhzyro (Lanadelumab - kallikrein inhibitor)</t>
  </si>
  <si>
    <t>$520,200 (prophilactic x 4 days) 
$256,234 (11 attacks annually, 2x3mg per attack)
$617,292 (300mg/bi-weekly)</t>
  </si>
  <si>
    <t>Edema</t>
  </si>
  <si>
    <t>https://www.ajmc.com/view/economic-burden-limiting-proper-healthcare-delivery-management-and-improvement-of-patient-outcomes</t>
  </si>
  <si>
    <t>https://icer-review.org/wp-content/uploads/2018/11/HAE-RAAG_111518.pdf</t>
  </si>
  <si>
    <t>https://www.ncbi.nlm.nih.gov/pmc/articles/PMC6067408/</t>
  </si>
  <si>
    <t>Unclear (often childhood for severe cases)</t>
  </si>
  <si>
    <t>Dopamine agonists, 
MAO-B inhibitors</t>
  </si>
  <si>
    <t>$2,100
$1,932</t>
  </si>
  <si>
    <t>Oculogyric crises, hypotonia, athetosis, lethargy, ptosis</t>
  </si>
  <si>
    <t>https://medlineplus.gov/genetics/condition/aromatic-l-amino-acid-decarboxylase-deficiency/</t>
  </si>
  <si>
    <t>Hyaluronic acid
Platelet rich therapy
Stem cell therapy
Total knee replacement</t>
  </si>
  <si>
    <t>$1,268 first year, $400 p.a after
$500-$2,000
$4,000-$7,500
$20,000-$35,000</t>
  </si>
  <si>
    <t>Knee pain</t>
  </si>
  <si>
    <t>https://health.costhelper.com/knee-replacement.html</t>
  </si>
  <si>
    <t>https://medlineplus.gov/genetics/condition/osteoarthritis/</t>
  </si>
  <si>
    <t>https://josr-online.biomedcentral.com/articles/10.1186/s13018-020-01848-7/tables/3</t>
  </si>
  <si>
    <t>NSAIDs, 
Disease-modifying antirheumatic drugs (DMARDs), 
Immunosuppressants, 
Biologic agents (Humira, Xeljanz, etc.)</t>
  </si>
  <si>
    <t>Low
Low
Low
$71,367, $50,357</t>
  </si>
  <si>
    <t>Joint pain, stiffness and swelling</t>
  </si>
  <si>
    <t>https://medlineplus.gov/genetics/condition/psoriatic-arthritis/</t>
  </si>
  <si>
    <t>https://medlineplus.gov/genetics/condition/rheumatoid-arthritis/</t>
  </si>
  <si>
    <t>40-50</t>
  </si>
  <si>
    <t>Ataxia</t>
  </si>
  <si>
    <t>https://medlineplus.gov/genetics/condition/friedreich-ataxia/</t>
  </si>
  <si>
    <t>https://www.ncbi.nlm.nih.gov/books/NBK1281/</t>
  </si>
  <si>
    <t>SCA3, ?Chantix (varenicline)?</t>
  </si>
  <si>
    <t>Ataxia, dysarthria</t>
  </si>
  <si>
    <t>https://www.ncbi.nlm.nih.gov/books/NBK1196/</t>
  </si>
  <si>
    <t>https://medlineplus.gov/genetics/condition/spinocerebellar-ataxia-type-3/</t>
  </si>
  <si>
    <t>https://n.neurology.org/content/our-experience-varenicline-treatment-ataxia-response-randomized-trial-varenicline-chantix#:~:text=treatment%20for%20ataxia.-,A%20response%20to%20%22A%20randomized%20trial%20of%20varenicline%20(Chantix),of%20spinocerebellar%20ataxia%20type%203%22&amp;text=Zesiewicz%20et%20al.,SCA3%20patients%20with%20excellent%20tolerance.&amp;text=found%20improvements%20in%20scores%2C%20they,patient%20or%20clinical%20global%20impression.</t>
  </si>
  <si>
    <t>https://www.ncbi.nlm.nih.gov/books/NBK1138/</t>
  </si>
  <si>
    <t>Hypotonia</t>
  </si>
  <si>
    <t>https://medlineplus.gov/genetics/condition/spinal-and-bulbar-muscular-atrophy/</t>
  </si>
  <si>
    <t>https://www.ncbi.nlm.nih.gov/books/NBK1333/</t>
  </si>
  <si>
    <t>Non-motile ciliopathy (retinal cone-rod dystrophy, obesity and related complications, postaxial polydactyly, cognitive impairment, hypogonadotropic hypogonadism and/or genitourinary malformations, and renal malformations and/or renal parenchymal disease)</t>
  </si>
  <si>
    <t>Obesity, intellectual disability, blindness</t>
  </si>
  <si>
    <t>https://medlineplus.gov/genetics/condition/bardet-biedl-syndrome/</t>
  </si>
  <si>
    <t>https://www.ncbi.nlm.nih.gov/books/NBK1363/</t>
  </si>
  <si>
    <t>CLN2: Brineura</t>
  </si>
  <si>
    <t>$747,786</t>
  </si>
  <si>
    <t>Progressive vision loss, personality and behavioral changes, seizures, intellectual decline, echolalia, etc.</t>
  </si>
  <si>
    <t>https://professionals.optumrx.com/content/dam/optum3/professional-optumrx/news/rxnews/drug-approvals/drugapprovals_brineura_2017-0428.pdf</t>
  </si>
  <si>
    <t>https://www.ncbi.nlm.nih.gov/pmc/articles/PMC4567481/</t>
  </si>
  <si>
    <t>Progressive vision loss</t>
  </si>
  <si>
    <t>Legally blind, 40s-50s</t>
  </si>
  <si>
    <t>https://medlineplus.gov/genetics/condition/bietti-crystalline-dystrophy/</t>
  </si>
  <si>
    <t>https://www.ncbi.nlm.nih.gov/books/NBK91457/</t>
  </si>
  <si>
    <t>Leukodystrophy, hypotonia, macrocephaly, irritability, feeding and swallowing difficulties, seizures, slepp disturbances</t>
  </si>
  <si>
    <t>Leukodystrophy, etc.</t>
  </si>
  <si>
    <t>https://medlineplus.gov/genetics/condition/canavan-disease/</t>
  </si>
  <si>
    <t>https://www.ncbi.nlm.nih.gov/books/NBK1234/</t>
  </si>
  <si>
    <t>Enlarged LV; BAG3 mutation</t>
  </si>
  <si>
    <t>https://link.springer.com/article/10.1007/s10741-019-09899-7</t>
  </si>
  <si>
    <t>https://www.ncbi.nlm.nih.gov/pmc/articles/PMC6688826/</t>
  </si>
  <si>
    <t>Varies with severity; over 50 possible</t>
  </si>
  <si>
    <t>Seizures, severe intellectual disability and little or no speech, motor skills delayed or not achieved</t>
  </si>
  <si>
    <t>https://medlineplus.gov/genetics/condition/cdkl5-deficiency-disorder/</t>
  </si>
  <si>
    <t>Type 1A: normal</t>
  </si>
  <si>
    <t>None - Symptomatic</t>
  </si>
  <si>
    <t>Weakness/atrophy of lower leg muscles, hand weakness, sensory loss.</t>
  </si>
  <si>
    <t>https://www.ncbi.nlm.nih.gov/books/NBK1358/</t>
  </si>
  <si>
    <t>Progressive vision loss; blind late adult</t>
  </si>
  <si>
    <t>https://medlineplus.gov/genetics/condition/choroideremia/</t>
  </si>
  <si>
    <t>https://www.ncbi.nlm.nih.gov/books/NBK1337/</t>
  </si>
  <si>
    <t>40+</t>
  </si>
  <si>
    <t>Actimmune (Interferon gamma-1b)</t>
  </si>
  <si>
    <t>$390,765-$781,530 (20kg-80kg)</t>
  </si>
  <si>
    <t>Immune system problems</t>
  </si>
  <si>
    <t>https://medlineplus.gov/genetics/condition/chronic-granulomatous-disease/</t>
  </si>
  <si>
    <t>https://www.ncbi.nlm.nih.gov/books/NBK99496/</t>
  </si>
  <si>
    <t>Citrullinemia</t>
  </si>
  <si>
    <t>Ravicti (Glycerol phenylbutyrate)</t>
  </si>
  <si>
    <t>$345,000-$922,000 (10kg-80kg)</t>
  </si>
  <si>
    <t>Urea cycle disorder - ammonia buildup (ataxia, seizures, lethargy)</t>
  </si>
  <si>
    <t>Ataxia, seizures, lethargy</t>
  </si>
  <si>
    <t>https://www.ncbi.nlm.nih.gov/books/NBK476309/table/app8.t1/</t>
  </si>
  <si>
    <t>https://www.pharmaceutical-technology.com/features/most-expensive-drugs-us/</t>
  </si>
  <si>
    <t>https://www.ncbi.nlm.nih.gov/books/NBK1458/</t>
  </si>
  <si>
    <t>Low</t>
  </si>
  <si>
    <t>Kernicterus, hypertonia, choreoathetosis, lethargy</t>
  </si>
  <si>
    <t>https://medlineplus.gov/genetics/condition/crigler-najjar-syndrome/</t>
  </si>
  <si>
    <t>https://www.statpearls.com/ArticleLibrary/viewarticle/20123</t>
  </si>
  <si>
    <t>Trikafta (elexacaftor/ivacaftor/tezacaftor)</t>
  </si>
  <si>
    <t>Phlemy coughing, frequent lung infections, digestive problems, delayed development, fatigue</t>
  </si>
  <si>
    <t>https://www.cff.org/Research/Researcher-Resources/Patient-Registry/Understanding-Changes-in-Life-Expectancy/</t>
  </si>
  <si>
    <t>https://www.advisory.com/daily-briefing/2019/10/28/cf-drug#:~:text=Trikafta%20will%20cost%20%24311%2C503%20annually,million%20in%202020%2C%20Reuters%20reports.</t>
  </si>
  <si>
    <t>Renal Fanconi syndrome, photophobia (corneal crystal deposition)</t>
  </si>
  <si>
    <t>End stage renal disease, blindness diabetes</t>
  </si>
  <si>
    <t>https://khn.org/news/the-high-cost-of-hope-when-the-parallel-interests-of-pharma-and-families-collide/</t>
  </si>
  <si>
    <t>Male, 20; female, 35</t>
  </si>
  <si>
    <t>Intervention for cardiomyopathy (transplantation, LVAD)</t>
  </si>
  <si>
    <t>See Heart failure</t>
  </si>
  <si>
    <t>Cardiomyopathy, myopathy, mild intellectual disability (male)</t>
  </si>
  <si>
    <t>Congestive heart disease, mild intellectual disability (male)</t>
  </si>
  <si>
    <t>https://medlineplus.gov/genetics/condition/danon-disease/</t>
  </si>
  <si>
    <t>Progressive decline in brain function</t>
  </si>
  <si>
    <t>https://www.webmd.com/alzheimers/guide/frontotemporal-dementia#1</t>
  </si>
  <si>
    <t>https://medlineplus.gov/genetics/condition/grn-related-frontotemporal-lobar-degeneration/</t>
  </si>
  <si>
    <t>https://medlineplus.gov/genetics/condition/frontotemporal-dementia-with-parkinsonism-17/</t>
  </si>
  <si>
    <t>Progressive decline in brain function, hallucinations/delusions, postural instability</t>
  </si>
  <si>
    <t>https://medlineplus.gov/genetics/condition/dementia-with-lewy-bodies/</t>
  </si>
  <si>
    <t>Insulin</t>
  </si>
  <si>
    <t xml:space="preserve">Chronic hyperglycemia, </t>
  </si>
  <si>
    <t>Neuropathy, cardiovascuer disease, peripheral vascular disease, ulcers</t>
  </si>
  <si>
    <t>https://medlineplus.gov/genetics/condition/type-1-diabetes/</t>
  </si>
  <si>
    <t>https://www.ncbi.nlm.nih.gov/books/NBK1447/</t>
  </si>
  <si>
    <t>https://www.ncbi.nlm.nih.gov/books/NBK500456/</t>
  </si>
  <si>
    <t>6-10 years less than normal</t>
  </si>
  <si>
    <t>Insulin, 
Metformin, Sulphonylurea, pioglitazone,  
Trulicity (GLP-1), 
Nesina/Trajenta/Onglyza (DPP-4 inhibitors), 
Jardiance/Farxiga/Invokana/Steglatro (SGLT-2)</t>
  </si>
  <si>
    <t xml:space="preserve">$6,000
Low
$12,402
$6,984
$6,660
</t>
  </si>
  <si>
    <t>Obesity, PVD, diabetic ulcers, cardiovascular disease</t>
  </si>
  <si>
    <t>https://medlineplus.gov/genetics/condition/type-2-diabetes/</t>
  </si>
  <si>
    <t xml:space="preserve"> None - LAMA2 - Symptomatic</t>
  </si>
  <si>
    <t xml:space="preserve"> Profound hypotonia, contractures of the large joints, respiratory failure, progressive scoliosis, seizures</t>
  </si>
  <si>
    <t>https://www.webmd.com/children/understanding-muscular-dystrophy-basics#1</t>
  </si>
  <si>
    <t>https://www.ncbi.nlm.nih.gov/books/NBK97333/</t>
  </si>
  <si>
    <t>Average 20-30; some 40-50</t>
  </si>
  <si>
    <t>Emflaza (Deflazacort), 
Eteplirsen,
 Golodirsen</t>
  </si>
  <si>
    <t>$40,700-$122,000 (20kg-60kg) 
$750,000-$1,500,000 (20kg-60kg)
Similar to Eteplirsen</t>
  </si>
  <si>
    <t>Rapidly progressive -wheelchair by 12; cardiomypathy by 18; respiratory complications</t>
  </si>
  <si>
    <t>https://www.fiercepharma.com/pharma/want-bang-for-your-buck-don-t-look-to-sarepta-s-pricey-dmd-therapy-exondys-icer-says</t>
  </si>
  <si>
    <t>https://icer-review.org/wp-content/uploads/2018/12/ICER_DMD_Evidence_Presentation_072519-x1Aug2017-1-2.pdf</t>
  </si>
  <si>
    <t>https://www.ncbi.nlm.nih.gov/books/NBK1119/</t>
  </si>
  <si>
    <t>LGMD2A (CAPN3): Adolescent
LGMD2B (DYSF): Young adulthood
LGMD2C (SGCG): Early childhood
LGMD2D (SGCA): Early childhood
LGMD2E (SGCB): Early childhood
LGMD2I (FKRP): Late childhood
LGMD2L (ANO5): Adult</t>
  </si>
  <si>
    <t>None - Symptomatic/supportive</t>
  </si>
  <si>
    <t>Muscle weakness</t>
  </si>
  <si>
    <t>https://www.ncbi.nlm.nih.gov/books/NBK114459/</t>
  </si>
  <si>
    <t>https://www.ncbi.nlm.nih.gov/books/NBK1303/</t>
  </si>
  <si>
    <t>https://www.ncbi.nlm.nih.gov/books/NBK1313/</t>
  </si>
  <si>
    <t>Dystrophy, myotonic muscular</t>
  </si>
  <si>
    <t>4
2</t>
  </si>
  <si>
    <t>1
4</t>
  </si>
  <si>
    <t>Congenital - Hypotonia, breathing problems, delayed development, intellectual disability, clubfoot</t>
  </si>
  <si>
    <t>https://www.ncbi.nlm.nih.gov/books/NBK1165/</t>
  </si>
  <si>
    <t>Dystrophy, oculopharyngeal muscular</t>
  </si>
  <si>
    <t>Ptosis, dysphagia, limb-girdle muscle weakness</t>
  </si>
  <si>
    <t>https://www.ncbi.nlm.nih.gov/books/NBK1126/</t>
  </si>
  <si>
    <t>Eczema</t>
  </si>
  <si>
    <t>https://medlineplus.gov/genetics/condition/atopic-dermatitis/</t>
  </si>
  <si>
    <t>Normal; Risk of squamous cell carcinoma</t>
  </si>
  <si>
    <t>Blistering</t>
  </si>
  <si>
    <t>https://medlineplus.gov/genetics/condition/dystrophic-epidermolysis-bullosa/</t>
  </si>
  <si>
    <t>https://medlineplus.gov/genetics/condition/junctional-epidermolysis-bullosa/</t>
  </si>
  <si>
    <t>Anti epileptic drugs
Vagus nerve stimulation (VNS)
Responsive neurostimulation (RNS)
Deep brain stimulation (DBS)
Invasive options - surgery</t>
  </si>
  <si>
    <t>$6,502
$41,574
$31,950 (device only)
$100,000-$150,000</t>
  </si>
  <si>
    <t>Seizures</t>
  </si>
  <si>
    <t>https://www.sciencedirect.com/science/article/abs/pii/S1878875016313894?via%3Dihub</t>
  </si>
  <si>
    <t>https://combigene.com/en/the-market-for-epilepsy/</t>
  </si>
  <si>
    <t>https://link.springer.com/article/10.1007/s12325-018-0775-0/tables/1</t>
  </si>
  <si>
    <t>https://www.goodrx.com/anti-epileptics</t>
  </si>
  <si>
    <t>http://www.neurosurgeryresident.net/E.%20Epilepsy%20and%20Seizures/E25.%20RNS.pdf</t>
  </si>
  <si>
    <t>https://n.neurology.org/content/95/10/e1404/tab-figures-data</t>
  </si>
  <si>
    <t>https://pubmed.ncbi.nlm.nih.gov/26138748/</t>
  </si>
  <si>
    <t>Men, 58; women, 75</t>
  </si>
  <si>
    <t>Enzyme replacement therapies;
 Replagal (agalsidase-alpha), 
Fabrazyme (agalsidase beta), 
Galafold(Migalastat)</t>
  </si>
  <si>
    <t>Acroparesthesias, angiokeratomas, hypohidrosis, corneal opacity or corneal verticillata, tinnitus, progressive kidney damage, heart attack, and stroke</t>
  </si>
  <si>
    <t>https://www.ncbi.nlm.nih.gov/books/NBK1292/</t>
  </si>
  <si>
    <t>https://fabrydiseasenews.com/fabry-disease-life-expectancy/#:~:text=Published%20data%20from%20the%20Fabry,women%20in%20the%20U.S.%20general</t>
  </si>
  <si>
    <t xml:space="preserve">Intellectual disabilities, attention deficit and hyperactivity, anxiety and unstable mood, autistic behaviors, sensory integration problems, </t>
  </si>
  <si>
    <t>https://medlineplus.gov/genetics/condition/fragile-x-syndrome/</t>
  </si>
  <si>
    <t>https://www.ncbi.nlm.nih.gov/books/NBK1384/</t>
  </si>
  <si>
    <t>Types 1 &amp; 3, Enzyme replacement therapies - 
Cerezyme (imiglucerase), 
VPRIV (velaglucerase alfa), 
Elelyso (taliglucerase alfa);
Glucosylceramide synthase inhibitors - Zavesca (miglustat), Cerdelga (eliglustat)</t>
  </si>
  <si>
    <t>Type 1 - Enlarged liver and spleen, fatigue, anemia, bone pain and fractures, easy bruising and bleeding; Type 2 - Seizures, brain damage;</t>
  </si>
  <si>
    <t>https://www.ncbi.nlm.nih.gov/books/NBK534700/</t>
  </si>
  <si>
    <t>https://www.fiercepharma.com/pharma/top-20-most-expensive-drugs-2018-featuring-names-big-and-small</t>
  </si>
  <si>
    <t>https://www.ahip.org/wp-content/uploads/2016/04/HighPriceDrugsReport.pdf</t>
  </si>
  <si>
    <t>Glaucoma</t>
  </si>
  <si>
    <t>&gt;=40</t>
  </si>
  <si>
    <t>Many</t>
  </si>
  <si>
    <t>Blindness</t>
  </si>
  <si>
    <t>https://www.mayoclinic.org/medical-professionals/ophthalmology/news/incidence-and-probability-of-progression-to-blindness-due-to-open-angle-glaucoma-decreases-dramatically/mac-20430155</t>
  </si>
  <si>
    <t>https://www.ncbi.nlm.nih.gov/pmc/articles/PMC6604230/</t>
  </si>
  <si>
    <t>http://www.visionproblemsus.org/glaucoma/glaucoma-map.html</t>
  </si>
  <si>
    <t>With treatment - Normal</t>
  </si>
  <si>
    <t xml:space="preserve">Uncooked corn starch, Allopurinol, </t>
  </si>
  <si>
    <t>Hypoglycemia, hepatomegaly, nephromegaly, elevated levels of lactate, uric acid and lipids, delayed growth and development and muscle weakness</t>
  </si>
  <si>
    <t>https://medlineplus.gov/genetics/condition/glycogen-storage-disease-type-i/</t>
  </si>
  <si>
    <t>Enzyme replacement therapies - Myozyme, Lumizyme (alglucosidase alfa)</t>
  </si>
  <si>
    <t>$298,000, $460,000</t>
  </si>
  <si>
    <t xml:space="preserve">Myopathy, hypotonia, cardiomegaly, hepatomegaly, macroglossia, </t>
  </si>
  <si>
    <t>https://web.archive.org/web/20190329161935/https://www1.magellanrx.com/media/604882/2016mrxtrendreport_final.pdf</t>
  </si>
  <si>
    <t>http://www.pmprb-cepmb.gc.ca/view.asp?ccid=632</t>
  </si>
  <si>
    <t>https://medlineplus.gov/genetics/condition/pompe-disease/</t>
  </si>
  <si>
    <t>Developmental regression, hepatosplenomegaly, skeletal abnormalities, seizures, profound intellectual disability, corneal clouding</t>
  </si>
  <si>
    <t>https://medlineplus.gov/genetics/condition/gm1-gangliosidosis/</t>
  </si>
  <si>
    <t>GM2 gangliosidosis</t>
  </si>
  <si>
    <t>2-5 years</t>
  </si>
  <si>
    <t>Developmental arrest/regression, startling, hypotonia</t>
  </si>
  <si>
    <t>https://www.ncbi.nlm.nih.gov/pmc/articles/PMC3208966/</t>
  </si>
  <si>
    <t>https://medlineplus.gov/genetics/condition/tay-sachs-disease/</t>
  </si>
  <si>
    <t>Graft-versus-host disease</t>
  </si>
  <si>
    <t>With treatment - unknown</t>
  </si>
  <si>
    <t>Soliris (eculizumab)(+meningitis vaccine)</t>
  </si>
  <si>
    <t>$709,238</t>
  </si>
  <si>
    <t>Hemolytic anemia, thrombocytopenia, kidney failure - end-stage renal disease</t>
  </si>
  <si>
    <t>https://ghr.nlm.nih.gov/condition/atypical-hemolytic-uremic-syndrome</t>
  </si>
  <si>
    <t>Clotting failure</t>
  </si>
  <si>
    <t xml:space="preserve">Joint damage, </t>
  </si>
  <si>
    <t>https://www.fiercepharma.com/sales-and-marketing/biogen-prices-new-long-acting-hemophilia-med-eye-on-patient-switching#:~:text=Last%20week%2C%20Biogen%20announced%20it,%24550%2C000%20to%20%24600%2C000%20per%20year.</t>
  </si>
  <si>
    <t>https://www.evaluate.com/vantage/articles/news/hemlibra-shows-it-cheaper-and-better</t>
  </si>
  <si>
    <t xml:space="preserve">Rixubis/Alprolix, Rebinyn (nonacog beta pegol), Idelvion (albutrepenonacog alfa), </t>
  </si>
  <si>
    <t>$500,000, $ , $500,000</t>
  </si>
  <si>
    <t>https://www.medscape.com/viewarticle/879422#:~:text=Approved%20in%202016%2C%20Idelvion%20combines,annual%20price%20tag%20of%20%24500%2C000.</t>
  </si>
  <si>
    <t>Cochlear implant</t>
  </si>
  <si>
    <t>$50,000-$100,000</t>
  </si>
  <si>
    <t>Deafness</t>
  </si>
  <si>
    <t>https://health.costhelper.com/cochlear-implant.html</t>
  </si>
  <si>
    <t>Low risk, 3 years 60% survival
High risk, 3 years 40% survival</t>
  </si>
  <si>
    <t>Inotropic agents, Left ventricle assist device (LVAD), Heart transplant</t>
  </si>
  <si>
    <t>LVAD -$175,000 implant cost ($726,000 over 6 years)
Heart transplant - $1,382,400</t>
  </si>
  <si>
    <t>Systolic left ventricular dysfunction, dyspnea, edema, fatigue &amp; weakness,</t>
  </si>
  <si>
    <t>http://www.heartfailure.onlinejacc.org/content/jhf/5/2/110.full.pdf?download=true</t>
  </si>
  <si>
    <t>https://www.texasheart.org/heart-health/heart-information-center/topics/inotropic-agents/</t>
  </si>
  <si>
    <t>PiZZ - 60</t>
  </si>
  <si>
    <t>Ursodeoxycholic acid (choleretic agent)
Liver transplant</t>
  </si>
  <si>
    <t>Jaundice, swelling of the abdomen, poor growth</t>
  </si>
  <si>
    <t>Jaundice, swelling of the abdomen. Cholestasis and pruritus</t>
  </si>
  <si>
    <t>10-30 years</t>
  </si>
  <si>
    <t>Pyridoxine, calcium-oxalate crystallization inhibitors, ( FDA review - Lumasiran)</t>
  </si>
  <si>
    <t>Recurrent kidney/bladder stones, end stage renal disease</t>
  </si>
  <si>
    <t>https://medlineplus.gov/genetics/condition/primary-hyperoxaluria/</t>
  </si>
  <si>
    <t>https://www.ncbi.nlm.nih.gov/books/NBK1283/</t>
  </si>
  <si>
    <t>33 years</t>
  </si>
  <si>
    <t>Lojuxta/Juxtapid (lomitapide)</t>
  </si>
  <si>
    <t>Excessive levels of low-density lipoprotein cholesterol (LDL-C), xanthomas, xanthelasma, severe and progressive atherosclerosis</t>
  </si>
  <si>
    <t>https://www.keionline.org/wp-content/uploads/2018/03/Juxtapid-Failure2disclose-Daniel-Rader-19Mar2018.pdf</t>
  </si>
  <si>
    <t>https://www.wellrx.com/prescriptions/juxtapid/</t>
  </si>
  <si>
    <t>https://www.medscape.com/viewarticle/809475_3#:~:text=Homozygous%20familial%20hypercholesterolemia%20(HoFH)%20is,expectancy%20is%20approximately%2033%20years.</t>
  </si>
  <si>
    <t>Difficulty concentrating, memory lapses, depression, clumsiness, mood swings
Chorea, difficulty walking, decline in cognitive abilities</t>
  </si>
  <si>
    <t>https://medlineplus.gov/genetics/condition/huntington-disease/</t>
  </si>
  <si>
    <t>https://www.ncbi.nlm.nih.gov/books/NBK1305/</t>
  </si>
  <si>
    <t>Treated - normal</t>
  </si>
  <si>
    <t>Phenylalanine restricted diet</t>
  </si>
  <si>
    <t>progressive neurologic symptoms and seizures</t>
  </si>
  <si>
    <t>https://en.wikipedia.org/wiki/Hyperphenylalaninemia</t>
  </si>
  <si>
    <t>7-10 years after onset</t>
  </si>
  <si>
    <t>Ambrisentan, Macitentan, Adcirca, 
Orenitram, Uptravi, Tyvaso, 
Remodulin</t>
  </si>
  <si>
    <t>$30,000, $126,000 , $26,000, $130,000, $170,000, $107,000, $144,000</t>
  </si>
  <si>
    <t>Dyspnea, fatigue, syncope, edema &amp; ascites, cyanosis, palpitations</t>
  </si>
  <si>
    <t>https://www.jnj.com/health-and-wellness/5-things-we-now-know-about-pulmonary-arterial-hypertension</t>
  </si>
  <si>
    <t>https://link.springer.com/article/10.1007/s40801-020-00183-x</t>
  </si>
  <si>
    <t>https://payorsolutions.cvshealth.com/insights/new-horizons-for-pah-treatments</t>
  </si>
  <si>
    <t>Unknown</t>
  </si>
  <si>
    <t>Lamellar ichthyosis, dark brown, plate-like scale with no erythroderma</t>
  </si>
  <si>
    <t>https://www.ncbi.nlm.nih.gov/books/NBK1420/</t>
  </si>
  <si>
    <t>Untreated, 2 years; 
With immunosuppression, childhood
Bone marrow transplant, 10+</t>
  </si>
  <si>
    <t>Immunosuppression, bone marrow transplant</t>
  </si>
  <si>
    <t xml:space="preserve">Multiple autoimmune disorders, autoimmune enteropathy, polyendocrinopathy, </t>
  </si>
  <si>
    <t>Extensive organ damage</t>
  </si>
  <si>
    <t>https://ghr.nlm.nih.gov/condition/immune-dysregulation-polyendocrinopathy-enteropathy-x-linked-syndrome</t>
  </si>
  <si>
    <t>Impotence</t>
  </si>
  <si>
    <t>30% mortality - 50% prior to hospitalization</t>
  </si>
  <si>
    <t xml:space="preserve">Percutaneous coronary intervention (PCI), coronary artery bypass graft (CABG), </t>
  </si>
  <si>
    <t>$25,845 (5 years - $56,860), $123,000-$151,000</t>
  </si>
  <si>
    <t>Chest/arm/neck/back/jaw tightness/pain, fatigue, lightheadedness, abnormal heartbeat</t>
  </si>
  <si>
    <t>http://icer-review.org/wp-content/uploads/2016/01/Costs-PCI-CABG-DM-CAD-March-2013.pdf</t>
  </si>
  <si>
    <t>https://www.medscape.com/answers/155919-15097/what-is-the-prognosis-of-acute-myocardial-infarction-mi-heart-attack#:~:text=Acute%20myocardial%20infarction%20(MI)%20is,year%20after%20their%20myocardial%20infarction.</t>
  </si>
  <si>
    <t>https://www.ncbi.nlm.nih.gov/books/NBK459269/</t>
  </si>
  <si>
    <t>https://www.ahajournals.org/doi/abs/10.1161/circoutcomes.8.suppl_2.208</t>
  </si>
  <si>
    <t>https://www.statista.com/statistics/189966/cost-of-a-heart-bypass-in-various-countries/</t>
  </si>
  <si>
    <t>I year survival, 77%</t>
  </si>
  <si>
    <t>Alteplase, mechanical thombectomy</t>
  </si>
  <si>
    <t>$25,630, $35,130</t>
  </si>
  <si>
    <t>Impairments in vision, body movement, and speaking, unconsciousness, blindness</t>
  </si>
  <si>
    <t>Brain damage</t>
  </si>
  <si>
    <t>https://www.ncbi.nlm.nih.gov/pmc/articles/PMC2669322/</t>
  </si>
  <si>
    <t>https://www.ahajournals.org/doi/pdf/10.1161/STROKEAHA.117.017199</t>
  </si>
  <si>
    <t>Severely impaired vision, photophobia, nystagmus, hyperopia, keratoconus.</t>
  </si>
  <si>
    <t>https://ghr.nlm.nih.gov/condition/leber-congenital-amaurosis</t>
  </si>
  <si>
    <t>Bilateral, painless subacute loss of central vision during young adult life. bilateral optic atrophy. Blindness</t>
  </si>
  <si>
    <t>https://rarediseases.org/rare-diseases/leber-hereditary-optic-neuropathy/</t>
  </si>
  <si>
    <t>LAD-1 - Untreated - Mortality, 75% by age 2</t>
  </si>
  <si>
    <t>Allogeneic stem cell transplant</t>
  </si>
  <si>
    <t>Delayed separation of the umbilical cord, recurrent pyogenic infections, absent pus formation, periodontitis</t>
  </si>
  <si>
    <t>Recurrent pyogenic infections, absent pus formation, periodontitis</t>
  </si>
  <si>
    <t>https://www.rocketpharma.com/lad-i-clinical-trial-for-health-care-providers/</t>
  </si>
  <si>
    <t>https://www.ncbi.nlm.nih.gov/books/NBK539770/</t>
  </si>
  <si>
    <t>Infantile onset (90%) - 1-7months; LE - 5-7 years</t>
  </si>
  <si>
    <t>Progressive neurological dysfunction - retardation, paralysis, blindness, deafness, pseudobulbar palsy</t>
  </si>
  <si>
    <t>Retardation, paralysis, blindness, deafness, pseudobulbar palsy</t>
  </si>
  <si>
    <t>https://rarediseases.org/rare-diseases/leukodystrophy-krabbes/</t>
  </si>
  <si>
    <t>Speech loss, gait disturbance, myotonia, 
Behavioral problems, then as above
Behavioral problems, psychiatric symptoms, as above</t>
  </si>
  <si>
    <t>https://ghr.nlm.nih.gov/condition/metachromatic-leukodystrophy</t>
  </si>
  <si>
    <t>After diagnosis, 40 years</t>
  </si>
  <si>
    <t>Fatigue, malaise, fever, loss of appetite, weight loss. Joint and muscle pain and weakness. Butterfly rash, calcinosis, vasculitis, petechiae. Nephritis, pericarditis</t>
  </si>
  <si>
    <t>https://ghr.nlm.nih.gov/condition/systemic-lupus-erythematosus</t>
  </si>
  <si>
    <t>Dietary (Lutein, etc.)</t>
  </si>
  <si>
    <t>Drusen, Vision issues, loss of central vision</t>
  </si>
  <si>
    <t>Geographic atrophy, blindness</t>
  </si>
  <si>
    <t>https://www.webmd.com/eye-health/macular-degeneration/wet-amd-treatments#1</t>
  </si>
  <si>
    <t>Macular degeneration, age-related, wet
Macular edema, diabetic
Retinopathy, diabetic</t>
  </si>
  <si>
    <t>Avastin, Eylea, Lucentis, Beovu</t>
  </si>
  <si>
    <t>$600, $25,000, $25,000, $25,000</t>
  </si>
  <si>
    <t>Neovascularization, vision issues, blindness</t>
  </si>
  <si>
    <t>https://www.webmd.com/eye-health/macular-degeneration/wet-amd-signs-symptoms#1</t>
  </si>
  <si>
    <t>Bright yellow cyst under the RPE, central vision issues</t>
  </si>
  <si>
    <t>Loss of central vision</t>
  </si>
  <si>
    <t>https://rarediseases.org/rare-diseases/best-vitelliform-macular-dystrophy/</t>
  </si>
  <si>
    <t>Vision loss in childhood or adolescence, light sensitivity, color blindness</t>
  </si>
  <si>
    <t>Loss of central vision and niht vision</t>
  </si>
  <si>
    <t>https://www.nei.nih.gov/learn-about-eye-health/eye-conditions-and-diseases/stargardt-disease</t>
  </si>
  <si>
    <t>3-12 months</t>
  </si>
  <si>
    <t>Thoracocentesis</t>
  </si>
  <si>
    <t>$713 (IP) - $15,170 (OP)</t>
  </si>
  <si>
    <t>Fluid in pleural cavity - CML comordidity</t>
  </si>
  <si>
    <t>https://pubmed.ncbi.nlm.nih.gov/20463821/</t>
  </si>
  <si>
    <t>Untreated - 3</t>
  </si>
  <si>
    <t>Copper-histidine</t>
  </si>
  <si>
    <t>$?</t>
  </si>
  <si>
    <t>Sparse, kinky hair, failure to thrive, hypotonia, deterioration of the nervous system</t>
  </si>
  <si>
    <t>Hypotonia, deterioration of the nervous system</t>
  </si>
  <si>
    <t>https://ghr.nlm.nih.gov/condition/menkes-syndrome</t>
  </si>
  <si>
    <t>https://www.ninds.nih.gov/Disorders/All-Disorders/Menkes-Disease-Information-Page</t>
  </si>
  <si>
    <t>MMUT (B12 unresponsive) - Most severe - potentially poor outcomes</t>
  </si>
  <si>
    <t>Diet, antibiotics</t>
  </si>
  <si>
    <t>Infants - Vomiting, dehydration, hypotonia, developmental delay, lethargy, hepatomegaly, failure to thrive. 
Long term - Intellectual disability, chronic kidney disease, pancreatitis</t>
  </si>
  <si>
    <t>Intellectual disability, chronic kidney disease, pancreatitis</t>
  </si>
  <si>
    <t>https://medlineplus.gov/genetics/condition/methylmalonic-acidemia/</t>
  </si>
  <si>
    <t>https://www.orpha.net/consor/www/cgi-bin/OC_Exp.php?lng=EN&amp;Expert=27</t>
  </si>
  <si>
    <t>Macrocephaly, hydrocephalus, heart valve abnormalitie, hepatosplenomegaly, macroglossia, sleep apnea, corneal clouding, dysostosis multiplex, decline in intellectual function</t>
  </si>
  <si>
    <t>https://medlineplus.gov/genetics/condition/mucopolysaccharidosis-type-i/</t>
  </si>
  <si>
    <t>https://www.rxlist.com/aldurazyme-drug.htm#description</t>
  </si>
  <si>
    <t>https://www.drugs.com/price-guide/aldurazyme</t>
  </si>
  <si>
    <t>Enzyme replacement therapy  - Elaprase (laronidase)</t>
  </si>
  <si>
    <t>$142,272-$1,138,107 (10kg-80kg)</t>
  </si>
  <si>
    <t>Severe - as MPS I</t>
  </si>
  <si>
    <t>As MPS I</t>
  </si>
  <si>
    <t>https://medlineplus.gov/genetics/condition/mucopolysaccharidosis-type-ii/</t>
  </si>
  <si>
    <t>https://www.drugs.com/price-guide/elaprase</t>
  </si>
  <si>
    <t>https://pharmaoffer.com/blog/show/10-most-expensive-drugs-in-the-world</t>
  </si>
  <si>
    <t>http://www.elaprase.com/hcp/dosing-administration</t>
  </si>
  <si>
    <t>Adolescence or early adulthood</t>
  </si>
  <si>
    <t>Neurodegeneration, developmental regression, seizures and movement disorders</t>
  </si>
  <si>
    <t>https://medlineplus.gov/genetics/condition/mucopolysaccharidosis-type-iii/</t>
  </si>
  <si>
    <t>Enzyme replacement therapy  - Vimizim (elosulfase alfa)</t>
  </si>
  <si>
    <t>$305,000-$2,263,000 (10kg-80kg)</t>
  </si>
  <si>
    <t>Skeletal abnormalities</t>
  </si>
  <si>
    <t>https://medlineplus.gov/genetics/condition/mucopolysaccharidosis-type-iv/</t>
  </si>
  <si>
    <t>https://reference.medscape.com/drug/vimizim-elosulfase-alfa-999909</t>
  </si>
  <si>
    <t>http://help.carecentrix.com/ProviderResources/CURRENT_MEDS.xls</t>
  </si>
  <si>
    <t>All - Corticosteroids, Ocrevus (ocrelizumab),
Secondary Progressive+Relapsing/remitting  -  Kesimpta (ofatumumab), 
Aubagio (teriflunomide),
Relapsing/remitting - Interferon beta medications, Glatopa (Glatiramer acetate), TYSABRI (natalizumab)
SIP modulatory - Zeposia (ozanimod), Mayzent (sponimod), Gilenya (fingolimod)</t>
  </si>
  <si>
    <t>$67,898
$83,000, 
$97,253
$41,820
$97,253
$86,000
$88,500, $62,000</t>
  </si>
  <si>
    <t>Nervous system damage, paresthesia, numbness, pain, and itching. Problems with muscle control, spasticity, hyperreflexia, weakness or partial paralysis of the muscles of the limbs, difficulty walking, or poor bladder control. Partial or complete vision loss</t>
  </si>
  <si>
    <t>https://medlineplus.gov/genetics/condition/multiple-sclerosis/</t>
  </si>
  <si>
    <t>https://www.mayoclinic.org/diseases-conditions/multiple-sclerosis/diagnosis-treatment/drc-20350274</t>
  </si>
  <si>
    <t>6-10 years after onset</t>
  </si>
  <si>
    <t>None - systemic</t>
  </si>
  <si>
    <t xml:space="preserve">Dysautonomia, Parkinsonism, cerebellar ataxia, </t>
  </si>
  <si>
    <t>https://medlineplus.gov/genetics/condition/multiple-system-atrophy/</t>
  </si>
  <si>
    <t>https://www.thieme-connect.de/products/ejournals/abstract/10.1055/s-0034-1381737</t>
  </si>
  <si>
    <t xml:space="preserve">Spinraza (nusinirsen)
Zolgensma (onasemnogene abeparvovec-xioi)
Evrysdi (risdiplam)
</t>
  </si>
  <si>
    <t>Atrophy of skeletal muscles</t>
  </si>
  <si>
    <t>https://ghr.nlm.nih.gov/condition/spinal-muscular-atrophy</t>
  </si>
  <si>
    <t>&lt; 2 years</t>
  </si>
  <si>
    <t>Muscle weakness, hypotonia, feeding difficulties, respiratory distress</t>
  </si>
  <si>
    <t>https://rarediseases.org/rare-diseases/x-linked-myotubular-myopathy/</t>
  </si>
  <si>
    <t>https://ghr.nlm.nih.gov/condition/x-linked-myotubular-myopathy</t>
  </si>
  <si>
    <t>Variable</t>
  </si>
  <si>
    <t>Ichthyosiform erythroderma, failure to thrive, dehydration, sepsis, immune system-related problems, trichorrhexis invaginata</t>
  </si>
  <si>
    <t>Ichthyosiform erythroderma, dehydration, sepsis, immune system-related problems, trichorrhexis invaginata</t>
  </si>
  <si>
    <t>https://medlineplus.gov/genetics/condition/netherton-syndrome/</t>
  </si>
  <si>
    <t>5-15 yars</t>
  </si>
  <si>
    <t xml:space="preserve">Symptomatic  </t>
  </si>
  <si>
    <t>Blindness; weakness, spasm, paralysis.</t>
  </si>
  <si>
    <t>https://rarediseases.org/rare-diseases/neuromyelitis-optica/</t>
  </si>
  <si>
    <t>https://www.orpha.net/data/patho/Pro/en/NeuromyelitisOptica-ENenPro10986.pdf</t>
  </si>
  <si>
    <t>May be shortened</t>
  </si>
  <si>
    <t>Lyrica (Pregabalin), Neurontin (gabapentin), Cymbalta (duloxetine), Opiods</t>
  </si>
  <si>
    <t>$22,000, $600, $1,500</t>
  </si>
  <si>
    <t>Numbness or reduced ability to feel pain or temperature changes, Tingling or burning sensation, Increased sensitivity to touch, Serious foot problems - infections, and bone and joint pain</t>
  </si>
  <si>
    <t>Foot ulcers, etc</t>
  </si>
  <si>
    <t>https://www.niddk.nih.gov/health-information/diabetes/overview/preventing-problems/nerve-damage-diabetic-neuropathies</t>
  </si>
  <si>
    <t>Neuropathy, lumbosacral radiculopathy</t>
  </si>
  <si>
    <t>Exercise, multiple classes of analgesics, opioids</t>
  </si>
  <si>
    <t>Pain syndrome caused by compression or irritation of nerve roots in the lower back</t>
  </si>
  <si>
    <t>Long term pain, opioid addiction</t>
  </si>
  <si>
    <t>https://www.ncbi.nlm.nih.gov/books/NBK430837/</t>
  </si>
  <si>
    <t>Type C - may survive to adulthood</t>
  </si>
  <si>
    <t>Type C - Zavesca (miglustat)</t>
  </si>
  <si>
    <t>$399,421</t>
  </si>
  <si>
    <t>Ataxia, vertical supranuclear gaze palsy, dystonia, severe liver disease, interstitial lung disease, decline in intellectual function, seizures</t>
  </si>
  <si>
    <t>https://medlineplus.gov/genetics/condition/niemann-pick-disease/</t>
  </si>
  <si>
    <t>https://www.goodrx.com/zavesca</t>
  </si>
  <si>
    <t>1
3</t>
  </si>
  <si>
    <t>3
2</t>
  </si>
  <si>
    <t>Neo-natal - lethargic, unwilling to eat, poorly-controlled breathing rate or body temperature, "floppy", seizures, coma, developmental delay and intellectual disability</t>
  </si>
  <si>
    <t>Seizures, coma, developmental delay and intellectual disability</t>
  </si>
  <si>
    <t>https://medlineplus.gov/genetics/condition/ornithine-transcarbamylase-deficiency/</t>
  </si>
  <si>
    <t>https://ojrd.biomedcentral.com/articles/10.1186/s13023-015-0266-1</t>
  </si>
  <si>
    <t>Bone marrow transplant</t>
  </si>
  <si>
    <t>Bones abnormally dense and prone to breakage, skull bones pinch cranial nerves - vision loss, hearing loss, and paralysis of facial muscles. Impaired bone marrow function.</t>
  </si>
  <si>
    <t>Skull bones pinch cranial nerves - vision loss, hearing loss, and paralysis of facial muscles. Impaired bone marrow function.</t>
  </si>
  <si>
    <t>https://medlineplus.gov/genetics/condition/osteopetrosis/</t>
  </si>
  <si>
    <t xml:space="preserve">Pelvic floor muscle exercises, Detrol (Tolterodine), Ditropan XL/Oxytrol/Gelnique (Oxybutynin), Botox (intradetrusor onabotulinum toxin A), nerve stimulation (sacral &amp; tibial) </t>
  </si>
  <si>
    <t xml:space="preserve">$2,100, $480/$10,750/$1,500, $2,200 , $20,000-$30,000 (one time cost - no allowance for device maintenance), </t>
  </si>
  <si>
    <t>Urinary incontinence</t>
  </si>
  <si>
    <t>https://link.springer.com/article/10.1007%2Fs11934-017-0739-y</t>
  </si>
  <si>
    <t>https://www.fiercebiotech.com/medical-devices/medtronic-touts-its-upgraded-wearable-neurostimulator-to-evaluate-overactive#:~:text=According%20to%20the%20Star%20Tribune,the%20cost%20by%20about%20%24200.</t>
  </si>
  <si>
    <t>https://www.ncbi.nlm.nih.gov/pmc/articles/PMC5003321/</t>
  </si>
  <si>
    <t>Lodosyn (levodopa + carbidopa), Gocovri (amantadine), NOURIANZ (istradefylline),  l-deprenyl/Eldepryl (Selegiline)</t>
  </si>
  <si>
    <t>$15,000-$30,000, $14,325 (FSS), $30,000, $6,500</t>
  </si>
  <si>
    <t>Tremors, bradykinesia, akinesia, postural instability, cognition (depression &amp; hallucinations), dementia</t>
  </si>
  <si>
    <t>https://medlineplus.gov/genetics/condition/parkinson-disease/</t>
  </si>
  <si>
    <t>https://www.goodrx.com/lodosyn</t>
  </si>
  <si>
    <t>Untreated - 10 years; treated - normal</t>
  </si>
  <si>
    <t>Soliris (eculizumab)</t>
  </si>
  <si>
    <t>Paroxysmal symptoms, hemolysis, hemolytic anemia, fatigue, weakness, pallor, shortness of breath, increased heart rate</t>
  </si>
  <si>
    <t>https://medlineplus.gov/genetics/condition/paroxysmal-nocturnal-hemoglobinuria/</t>
  </si>
  <si>
    <t>20 year survival, 66%; mortality 3x normal</t>
  </si>
  <si>
    <t>None - symptomatic - Rituxan (rituximab), Azan/Imuran (Azathioprine), mycophenolate mofetil</t>
  </si>
  <si>
    <t>$10,000 ($20,000 year one), $14,400, $300, $13,000</t>
  </si>
  <si>
    <t>Painful blisters and erosions on the skin and mucous membranes</t>
  </si>
  <si>
    <t>https://www.healthline.com/health/pemphigus-vulgaris</t>
  </si>
  <si>
    <t>https://pubmed.ncbi.nlm.nih.gov/22266247/</t>
  </si>
  <si>
    <t>8.2% annual mortality after diagnosis; CLI - survival at 5 years after diagnosis &lt; 30%</t>
  </si>
  <si>
    <t>Revascularization (endovascular, open surgical), amputation</t>
  </si>
  <si>
    <t>Claudication, leg numbness or weakness, coldness, sores that won't heal, No pulse or a weak pulse in legs or feet</t>
  </si>
  <si>
    <t>Stroke, myocardial infarction</t>
  </si>
  <si>
    <t>https://www.healthline.com/health/peripheral-vascular-disease</t>
  </si>
  <si>
    <t>https://bmccardiovascdisord.biomedcentral.com/articles/10.1186/1471-2261-5-14</t>
  </si>
  <si>
    <t>https://www.ahajournals.org/doi/full/10.1161/CIRCINTERVENTIONS.115.001946</t>
  </si>
  <si>
    <t>https://www.ncbi.nlm.nih.gov/pmc/articles/PMC1994028/</t>
  </si>
  <si>
    <t>8-14 years</t>
  </si>
  <si>
    <t>Symptomatic - primarily oncological</t>
  </si>
  <si>
    <t>Varous</t>
  </si>
  <si>
    <t>Various</t>
  </si>
  <si>
    <t>Type 3 (ABCB4) - symptoms, late infancy to early childhood; liver failure, childhood or adulthood.</t>
  </si>
  <si>
    <t>Ursodeoxycholic acid, liver transplant</t>
  </si>
  <si>
    <t>$3,000, $812,000</t>
  </si>
  <si>
    <t>Severe itching, jaundice, failure to thrive, portal hypertension, hepatosplenomegaly</t>
  </si>
  <si>
    <t>https://medlineplus.gov/genetics/condition/progressive-familial-intrahepatic-cholestasis/</t>
  </si>
  <si>
    <t>6-7 years from onset of symptoms</t>
  </si>
  <si>
    <t>None - symptomatic</t>
  </si>
  <si>
    <t>Loss of balance and frequent falls, bradykinesia, clumsiness, and stiffness of the trunk muscles, vertical gaze palsy, photophobia</t>
  </si>
  <si>
    <t>https://medlineplus.gov/genetics/condition/progressive-supranuclear-palsy/</t>
  </si>
  <si>
    <t>Mild cases - none
Severe cases - transfusion, splenectomy</t>
  </si>
  <si>
    <t>Chronic hemolytic anemia, pallor, jaundice, fatigue, dyspnea, tachycardia, splenomegaly, gallstones</t>
  </si>
  <si>
    <t>https://medlineplus.gov/genetics/condition/pyruvate-kinase-deficiency/</t>
  </si>
  <si>
    <t>https://medlineplus.gov/genetics/condition/retinitis-pigmentosa/</t>
  </si>
  <si>
    <t>Progressive vision loss, nystagmus, strabismus, hyperopia</t>
  </si>
  <si>
    <t>Blindness in 60s</t>
  </si>
  <si>
    <t>https://ghr.nlm.nih.gov/condition/x-linked-juvenile-retinoschisis</t>
  </si>
  <si>
    <t>20-40 (mean 24)</t>
  </si>
  <si>
    <t>Severe problems with language and communication, learning, coordination, and other brain functions, microcephaly. Breathing abnormalities, spitting or drooling, unusual eye movements such as intense staring or excessive blinking, cold hands and feet, irritability, sleep disturbances, seizures, scoliosis</t>
  </si>
  <si>
    <t>https://medlineplus.gov/genetics/condition/rett-syndrome/</t>
  </si>
  <si>
    <t>Sarcopenia</t>
  </si>
  <si>
    <t>Condition of aging. Increased mortality.</t>
  </si>
  <si>
    <t>Exercise, diet, creatine</t>
  </si>
  <si>
    <t>Decline of skeletal muscle tissue</t>
  </si>
  <si>
    <t>https://www.ncbi.nlm.nih.gov/pmc/articles/PMC4066461/</t>
  </si>
  <si>
    <t>https://www.ncbi.nlm.nih.gov/pmc/articles/PMC6351669/</t>
  </si>
  <si>
    <t>Untreated, &lt; 2;</t>
  </si>
  <si>
    <t>Hematopoietic stem cell transplant, 
Revcovi (elapegademase-lvlr)</t>
  </si>
  <si>
    <t>$409,600 ($892,700), 
$228,750-$3,660,000 (5kg-80kg)</t>
  </si>
  <si>
    <t>Lack of immune protection from bacteria, viruses, and fungi</t>
  </si>
  <si>
    <t>https://medlineplus.gov/genetics/condition/adenosine-deaminase-deficiency/</t>
  </si>
  <si>
    <t>Age at onset, 0-5; Untreated, infancy</t>
  </si>
  <si>
    <t xml:space="preserve">Hematopoietic stem cell transplant, </t>
  </si>
  <si>
    <t xml:space="preserve">$409,600 ($892,700), </t>
  </si>
  <si>
    <t>Lack of immune protection from bacteria, viruses, and fungi. Absence of T and B lymphocytes.</t>
  </si>
  <si>
    <t>https://rarediseases.org/rare-diseases/severe-combined-immunodeficiency/</t>
  </si>
  <si>
    <t>https://www.ncbi.nlm.nih.gov/gene/64421</t>
  </si>
  <si>
    <t>https://www.nature.com/articles/gene201116</t>
  </si>
  <si>
    <t>Untreated, infancy</t>
  </si>
  <si>
    <t>https://medlineplus.gov/genetics/condition/x-linked-severe-combined-immunodeficiency/</t>
  </si>
  <si>
    <t>https://ghr.nlm.nih.gov/condition/x-linked-severe-combined-immunodeficiency</t>
  </si>
  <si>
    <t>(Morphea) Normal</t>
  </si>
  <si>
    <t>Methotrexate + corticosteroids</t>
  </si>
  <si>
    <t>$1,000</t>
  </si>
  <si>
    <t>cutaneous sclerosis</t>
  </si>
  <si>
    <t>https://www.ncbi.nlm.nih.gov/pmc/articles/PMC4323700/</t>
  </si>
  <si>
    <t>https://pubmed.ncbi.nlm.nih.gov/9002014/</t>
  </si>
  <si>
    <t>https://pubmed.ncbi.nlm.nih.gov/12695134/</t>
  </si>
  <si>
    <t>54 years</t>
  </si>
  <si>
    <t>Prophylactic penicillin up to age 5
Hydroxyurea, blood transfusion
Allogeneic bone marrow transplantation
Endari (L-glutamine)
Adakveo (Crizanlizumab)
Oxbryta (Voxelotor)</t>
  </si>
  <si>
    <t>$322-$2,251, $?
$892,700
$14,571-$43,714
$36,770-$147,082 (20kg-80kg)
$165,240</t>
  </si>
  <si>
    <t>Anemia, repeated infections, periodic episodes of pain</t>
  </si>
  <si>
    <t>https://medlineplus.gov/genetics/condition/sickle-cell-disease/</t>
  </si>
  <si>
    <t>https://www.sciencedirect.com/science/article/abs/pii/S0146000515000257?via%3Dihub</t>
  </si>
  <si>
    <t>https://icer-review.org/wp-content/uploads/2019/08/ICER_SCD_MAP_112119.pdf</t>
  </si>
  <si>
    <t>Sjogren's syndrome</t>
  </si>
  <si>
    <t>Dry eyes, dry mouth</t>
  </si>
  <si>
    <t>https://medlineplus.gov/genetics/condition/sjogren-syndrome/</t>
  </si>
  <si>
    <t>Normal; &lt; 30 with heart complications</t>
  </si>
  <si>
    <t>Blood transfusion, 
Chelation Therapy (Ferriprox, Exjade)
Splenectomy</t>
  </si>
  <si>
    <t xml:space="preserve">$5,519, $23,179
</t>
  </si>
  <si>
    <t>Anemia, failure to thrive, jaundice, hepatosplenomegaly, cardiomegaly</t>
  </si>
  <si>
    <t>Anemia, hepatosplenomegaly, cardiomegaly</t>
  </si>
  <si>
    <t>https://medlineplus.gov/genetics/condition/beta-thalassemia/</t>
  </si>
  <si>
    <t>Transplant rejection, corneal</t>
  </si>
  <si>
    <t>Corneal transplant</t>
  </si>
  <si>
    <t>$30,200</t>
  </si>
  <si>
    <t>Rejection due to revascularization</t>
  </si>
  <si>
    <t>https://pubmed.ncbi.nlm.nih.gov/29361840/</t>
  </si>
  <si>
    <t>(Kidney) 0-2 years</t>
  </si>
  <si>
    <t>Kidney transplant</t>
  </si>
  <si>
    <t>$414,800</t>
  </si>
  <si>
    <t>Immune mediated rejection</t>
  </si>
  <si>
    <t>https://investor.sangamo.com/news-releases/news-release-details/sangamo-announces-uk-authorization-phase-12-clinical-trial</t>
  </si>
  <si>
    <t>https://www.aans.org/Patients/Neurosurgical-Conditions-and-Treatments/Traumatic-Brain-Injury#:~:text=Traumatic%20Brain%20Injury%20(TBI)%20is,skull%20and%20enters%20brain%20tissue.</t>
  </si>
  <si>
    <t>https://www.ncbi.nlm.nih.gov/books/NBK537328/</t>
  </si>
  <si>
    <t>Deafness, progressive vision loss</t>
  </si>
  <si>
    <t>Deafness, blindness</t>
  </si>
  <si>
    <t>https://medlineplus.gov/genetics/condition/usher-syndrome/</t>
  </si>
  <si>
    <t>Onset, 6-45; 40 years from onset</t>
  </si>
  <si>
    <t>Diet
Cuprimine, Depen (Penicillamine)
Syprine (Trientine)
Galzin (Zinc acetate) adjunct therapy
Liver transplantation</t>
  </si>
  <si>
    <t xml:space="preserve">
$165,000-$525,000 ($35,000-$105,000) (&gt;35kg)
$385,700 ($17,300)
$4,000 (3,180)
$812,500</t>
  </si>
  <si>
    <t xml:space="preserve">Liver disease, nervous system or psychiatric problems, Kayser-Fleischer ring, </t>
  </si>
  <si>
    <t>https://medlineplus.gov/genetics/condition/wilson-disease/</t>
  </si>
  <si>
    <t>https://www.mayoclinic.org/diseases-conditions/wilsons-disease/diagnosis-treatment/drc-20353256</t>
  </si>
  <si>
    <t>Untreated, 15-20 years</t>
  </si>
  <si>
    <t xml:space="preserve">Immune deficiency, microthrombocytopenia, </t>
  </si>
  <si>
    <t>https://medlineplus.gov/genetics/condition/wiskott-aldrich-syndrome/</t>
  </si>
  <si>
    <t>https://www.statpearls.com/kb/viewarticle/31375</t>
  </si>
  <si>
    <t>Wolman disease</t>
  </si>
  <si>
    <t>Untreated, &lt; 4 months;
Treated, 50% &gt;24 months</t>
  </si>
  <si>
    <t>Kanuma (sebelipase alfa)</t>
  </si>
  <si>
    <t>$69,350-$277,394 (5kg-20kg)</t>
  </si>
  <si>
    <t>Lipid accumulation, hepatosplenomegaly, jaundice, vomiting, diarrhea, steatorrhea, malabsorption</t>
  </si>
  <si>
    <t>https://medlineplus.gov/genetics/condition/lysosomal-acid-lipase-deficiency/</t>
  </si>
  <si>
    <t>https://ojrd.biomedcentral.com/articles/10.1186/s13023-017-0587-3</t>
  </si>
  <si>
    <t>28% ded during 2 year follow up after presentation</t>
  </si>
  <si>
    <t>Dressings
Compression stockings and compression bandages
Antibiotics
Hyperbaric oxygen therapy
Ultrasound and electromagnetic therapy
Negative pressure wound therapy
Skin grafts</t>
  </si>
  <si>
    <t>$20,900-$151,700 per pressure ulcer (+ $43,180 p.a. )
DFU $29,373
$43,000 venous ulcer</t>
  </si>
  <si>
    <t xml:space="preserve">Chronic wounds last on average 12 to 13 months, recur in up to 60% to 70% of patients. </t>
  </si>
  <si>
    <t>Diabetes, obesity, cardiovascular disease, peripheral vascular disease</t>
  </si>
  <si>
    <t>https://www.ncbi.nlm.nih.gov/books/NBK326436/</t>
  </si>
  <si>
    <t>https://www.ncbi.nlm.nih.gov/pmc/articles/PMC4528992/</t>
  </si>
  <si>
    <t>https://www.ncbi.nlm.nih.gov/pmc/articles/PMC2903966/</t>
  </si>
  <si>
    <t>https://www.liebertpub.com/doi/full/10.1089/wound.2019.0946</t>
  </si>
  <si>
    <t>https://www.azuravascularcare.com/infopad/diabetic-foot-amputation-stats/</t>
  </si>
  <si>
    <t>As per head &amp; neck cancers</t>
  </si>
  <si>
    <t>Saliva substitutes
Saliva stimulants: Pilocarpine, Cevimeline</t>
  </si>
  <si>
    <t>$4,165
$180-$15,978, $594-$2,877</t>
  </si>
  <si>
    <t>Dry mouth (after radiation therapy for head &amp; neck cancers)</t>
  </si>
  <si>
    <t>Dry mouth</t>
  </si>
  <si>
    <t>https://www.ncbi.nlm.nih.gov/pmc/articles/PMC4325830/</t>
  </si>
  <si>
    <t>https://www.ncbi.nlm.nih.gov/pmc/articles/PMC4160670/</t>
  </si>
  <si>
    <t>Pricing information primarily from:</t>
  </si>
  <si>
    <t>https://www.goodrx.com/</t>
  </si>
  <si>
    <t>https://www.drugs.com/price-guide/</t>
  </si>
  <si>
    <t>(prices accessed between 8/1/2020 and 9/31/2020)</t>
  </si>
  <si>
    <t>Dosing information primarily from:</t>
  </si>
  <si>
    <t>https://reference.medscape.com/drug/</t>
  </si>
  <si>
    <t>(also from individual drug websites)</t>
  </si>
  <si>
    <t>Transplant costs from:</t>
  </si>
  <si>
    <t>Other sources may be referenced individually</t>
  </si>
  <si>
    <t>A</t>
  </si>
  <si>
    <t>B</t>
  </si>
  <si>
    <t>C</t>
  </si>
  <si>
    <t>O</t>
  </si>
  <si>
    <t>P</t>
  </si>
  <si>
    <t>Q</t>
  </si>
  <si>
    <t>R</t>
  </si>
  <si>
    <t>Impact on life expectancy</t>
  </si>
  <si>
    <t>Age at onset</t>
  </si>
  <si>
    <t xml:space="preserve"> 40-60</t>
  </si>
  <si>
    <t>Type 1, 68 (90%);
Type 2, 5-10;
Type 3, 30-50</t>
  </si>
  <si>
    <t>Type 1, 2-6; 
Type 2, 10-30, 
Type 3, 30-50</t>
  </si>
  <si>
    <t xml:space="preserve">Adult  </t>
  </si>
  <si>
    <t>Adult</t>
  </si>
  <si>
    <t>Severe - 10-20; 
Mild - adulthood</t>
  </si>
  <si>
    <t>late childhood (Hurler syndrome)
adulthood (Scheie syndrome</t>
  </si>
  <si>
    <t>May be reduced</t>
  </si>
  <si>
    <t xml:space="preserve">more than 50% &lt; 7 days
more than 80% &gt; 30 years </t>
  </si>
  <si>
    <t xml:space="preserve">Neo-natal (30%) 
Childhood (58%) + adult (12%) </t>
  </si>
  <si>
    <t xml:space="preserve"> 2-10</t>
  </si>
  <si>
    <t xml:space="preserve"> Age at diagnosis typically &gt; 60</t>
  </si>
  <si>
    <t>10-20 years after diagnosis (1-2 years less than "normal")</t>
  </si>
  <si>
    <t>M 66, F 68</t>
  </si>
  <si>
    <t>20-40 years</t>
  </si>
  <si>
    <t>7-12 years after onset</t>
  </si>
  <si>
    <t>4-10 years after onset</t>
  </si>
  <si>
    <t>typically 2-10 years after onset</t>
  </si>
  <si>
    <t>&lt; 10 years</t>
  </si>
  <si>
    <t>CLN1: early childhood
CLN2:  6-12
CLN3: 15-25
CLN6: 8-15</t>
  </si>
  <si>
    <t>Therapeutic options</t>
  </si>
  <si>
    <t>$375,000 ($750,000 first year), then $340,000,
$2,100,000
$100,000 - $340,000  (&lt;15lb - 44lb)</t>
  </si>
  <si>
    <t xml:space="preserve">
$300,000, 
$312,000, 
$310,000</t>
  </si>
  <si>
    <t>Childhood</t>
  </si>
  <si>
    <t>Advate, 
Eloctate, 
Hemlibra (inhibitor)</t>
  </si>
  <si>
    <t>$219,000, 
$469,000, 
$700,000</t>
  </si>
  <si>
    <t>Enzyme replacement therapy  - 
Aldurazyme (idursulfase)
Hematopoietic stem cell transplant</t>
  </si>
  <si>
    <t xml:space="preserve">
$99,400-$795,000 (10kg-80kg)
 $409,000</t>
  </si>
  <si>
    <t xml:space="preserve">
$128,885-$515,541 (20kg-80kg)
 $112,873-$451,492 (20kg-80kg)
$132,288-$529,153 (20kg-80kg)
$199,710, 
$185,510-$371,020 (20kg-80kg)</t>
  </si>
  <si>
    <t>At transplant</t>
  </si>
  <si>
    <t>Genetic (CYP21A2)
21-Hydroxylase deficiency
Newborn screening</t>
  </si>
  <si>
    <r>
      <t>Mean AoD 41.2 (</t>
    </r>
    <r>
      <rPr>
        <sz val="11"/>
        <color theme="1"/>
        <rFont val="Calibri"/>
        <family val="2"/>
      </rPr>
      <t>±26.9years)</t>
    </r>
  </si>
  <si>
    <t>Genetic (ABCD1)
Diagnosis: 4- 10 years</t>
  </si>
  <si>
    <t>Genetic (SERPINA1)
Diagnosis: Adult (30+)</t>
  </si>
  <si>
    <t>Genetic (CNGA3, CNGB3)
Diagnosis: 3 - 6 months</t>
  </si>
  <si>
    <t>Possibly genetic (C9orf72, SOD1, etc) 
Diagnosis: Adult</t>
  </si>
  <si>
    <t>Genetic (FANCA)
Diagnosis: Birth through early childhood</t>
  </si>
  <si>
    <t>Genetic (UBE3A)
Diagnosis 9 months - 6 years</t>
  </si>
  <si>
    <t>Genetic (SERPING1)
Diagnosis: 5 - 11 years</t>
  </si>
  <si>
    <t>Possibly genetic (APOE4, PSEN1, PSEN2, APP)
Adult</t>
  </si>
  <si>
    <t>Genetic (TTR)
Diagnosis: adult (typically &lt;40)</t>
  </si>
  <si>
    <t>Genetic (AADC)
Diagnosis: neonatal - 12 months</t>
  </si>
  <si>
    <t>Genetic (FXN)
Diagnosis: Late childhood</t>
  </si>
  <si>
    <t>Genetic (AR)
Diagnosis: Post-adolescent (neurological 30-50)</t>
  </si>
  <si>
    <t>mean AoD 65</t>
  </si>
  <si>
    <t>Genetic (ATXN3)
Diagnosis: 15-50 (mean 37)</t>
  </si>
  <si>
    <t>SCA3: 6-29 years after diagnosis (mean 21)</t>
  </si>
  <si>
    <t>Genetic (BBS1 - 23.4%, BBS2-10, CEP290)
Treatment (NR2E3 - 100%))
Diagnosis: Neonatal - childhood</t>
  </si>
  <si>
    <t>legally blind 40-50</t>
  </si>
  <si>
    <t>Genetic (CYP4V2)
Diagnosis: Adolescent - early adult</t>
  </si>
  <si>
    <t>Genetic (CLN1): Infantile
Genetic (CLN2): onset, 2-4
Genetic (CLN3): Onset 5-15
Genetic (CLN6): Late infantile</t>
  </si>
  <si>
    <t xml:space="preserve">
Usually &lt;10; teens/twenties possible
normal (condition often undiagnosed)</t>
  </si>
  <si>
    <t>Genetic (BAG3)
Diagnosis:  20-50; 80% penetrance &gt;40</t>
  </si>
  <si>
    <t>4.3% per year post diagnosis</t>
  </si>
  <si>
    <t>Genetic (CDKL5)
Diagnosis: Infant</t>
  </si>
  <si>
    <t>Genetic Type 1A (PMP22)
Diagnosis: Adolescence - early adult</t>
  </si>
  <si>
    <t>Genetic (CHM)
Diagnosis: Child, adolescent, adult</t>
  </si>
  <si>
    <t>Genetic (CYBB)
Diagnosis: Typically birth-5; occasionally 10-20</t>
  </si>
  <si>
    <t>Genetic (ASS1)
Diagnosis: Newborn screenig (type 1)</t>
  </si>
  <si>
    <t>Untreated: &lt;17 days; 
Treated: late adulthood</t>
  </si>
  <si>
    <t>Type 1, 10-20; 
Type 2, 15-40</t>
  </si>
  <si>
    <t xml:space="preserve">Genetic (ASPA)
Severe: Neonatal/infantile
Mild: juvenile
 </t>
  </si>
  <si>
    <t>Genetic (UGT1A1)
Diagnosis: Neonatal - infancy</t>
  </si>
  <si>
    <t xml:space="preserve">
$812,000</t>
  </si>
  <si>
    <t>Genetic (CFTR)
Diagnosis: 6-8 months</t>
  </si>
  <si>
    <t>Born in 2015 projected mean AoD 44 years
Born in 2005 projected mean AoD 37 years
Born in 1995 projected mean AoD 31 years</t>
  </si>
  <si>
    <t>Phototherapy (10-12 hours daily), Actigall® (ursodiol), phenobarbital, vitamin E, vitamin C, coenzyme Q, L-carnitine, and creatine
Liver transplant</t>
  </si>
  <si>
    <t>Low
$812,000</t>
  </si>
  <si>
    <t>Immediate release cysteamine, 
Procysbi (delayed release cysteamine), 
Kidney transplant</t>
  </si>
  <si>
    <t>$8,000, 
$308,982-$926,948 (10kg-50kg)
$414,800</t>
  </si>
  <si>
    <t>Genetic (CTNS)
Nephropathic: 6-18 months
intermediate: 8-20 years
non-nephropathic: Typically 40+ years</t>
  </si>
  <si>
    <t xml:space="preserve">
Untreated &lt;10; treated 50+
50+
normal</t>
  </si>
  <si>
    <t>Genetic (LAMP2)
Diagnosis: M 12.1 years; F 19.0 years</t>
  </si>
  <si>
    <t>Possibly genetic (C9orf72, GRN)
Diagnosis: 21-80 (majority 45-64)</t>
  </si>
  <si>
    <t xml:space="preserve"> 7-13 years post-diagnosis</t>
  </si>
  <si>
    <t xml:space="preserve"> 5-7 years post-diagnosis</t>
  </si>
  <si>
    <t>Genetic (SNCA, SNCB)
Diagnosis: 50+</t>
  </si>
  <si>
    <t>Possibly genetic - autoimmune
Diagnosis: 10-40 (14 mode)</t>
  </si>
  <si>
    <t>Genetic (LAMA2)
Early onset: Neonatal
onset: late childhood - aduthood</t>
  </si>
  <si>
    <t xml:space="preserve">
mean 20
 &lt; normal</t>
  </si>
  <si>
    <t>Genetic (Dystrophin)
Diagnosis: Infancy - childhood</t>
  </si>
  <si>
    <t>Normal
Normal
Unknown
Unknown
Unknown
Unknown
Normal</t>
  </si>
  <si>
    <t>Genetic Type 1 (DMPK) 
   Mild: 20-70
   Classical: 10-30
   Congenital: birth-10</t>
  </si>
  <si>
    <t xml:space="preserve">
normal
 48-55
Mean 45</t>
  </si>
  <si>
    <t>Genetic (PABPN1)
Diagnosis: Adult</t>
  </si>
  <si>
    <t>Diagnosis: Average 3 months</t>
  </si>
  <si>
    <t>Genetic (COL7A1)
Diagnosis: Birth</t>
  </si>
  <si>
    <t>Genetic (COL17A1)
Generalized severe: Birth
Generalized intermediate: Birth</t>
  </si>
  <si>
    <t xml:space="preserve">
Severe: 73% averaged 5 months
intermediate: normal</t>
  </si>
  <si>
    <t xml:space="preserve">
1-2 years after diagnosis
5-10 after diagnosis
10-20  after diagnosis
20-30 years after diagnosis</t>
  </si>
  <si>
    <t xml:space="preserve">
late childhood or adolescence
Adulthood</t>
  </si>
  <si>
    <t>Genetic (SMN1)
Type 1 - birth
Type 2 - infancy
Type 3 - 18 months - adolescence
Type 4 - early adulthood</t>
  </si>
  <si>
    <t xml:space="preserve">
Type 1 - 1-2 years
Type 2 - early adulthood
Type 3 - normal
Type 4 - normal</t>
  </si>
  <si>
    <t>Genetic (TCIRG1)
Diagnosis: Neonatal</t>
  </si>
  <si>
    <t>Any</t>
  </si>
  <si>
    <t>Genetic (GLA)
Diagnosis: Neonatal</t>
  </si>
  <si>
    <t>Genetic (DGKK)
Diagnosis: Neonatal</t>
  </si>
  <si>
    <t>Genetic (GBA)
Diagnosis: Neonatal</t>
  </si>
  <si>
    <t>Genetic (G6PC)
Diagnosis: Neonatal</t>
  </si>
  <si>
    <t>Genetic (GAA)
Diagnosis: Neonatal</t>
  </si>
  <si>
    <t>Genetic (GLB1)
Diagnosis: Neonatal</t>
  </si>
  <si>
    <t>Genetic (HEXA)
Diagnosis: Neonatal</t>
  </si>
  <si>
    <t>Genetic (CFH)
Diagnosis: Neonatal</t>
  </si>
  <si>
    <t>Genetic (hfIX)
Diagnosis: Neonatal</t>
  </si>
  <si>
    <t>Genetic (hfVIII)
Diagnosis: Neonatal</t>
  </si>
  <si>
    <t>Genetic (AGXT)
Diagnosis: Neonatal</t>
  </si>
  <si>
    <t>Genetic (LDLR)
Diagnosis: Neonatal</t>
  </si>
  <si>
    <t>Genetic (PAH)
Diagnosis: Neonatal</t>
  </si>
  <si>
    <t>Genetic (FOXP3)
Diagnosis: Neonatal</t>
  </si>
  <si>
    <t>Genetic (ITGB2)
Diagnosis: Neonatal</t>
  </si>
  <si>
    <t>Genetic (GALC)
Diagnosis: Neonatal</t>
  </si>
  <si>
    <t>Genetic (ARSA)
Infantile:
Late infantile (50-60%):
Juvenile (20-30%):
Adult (15-20%):</t>
  </si>
  <si>
    <t>Genetic (ATP7A)
Diagnosis: Neonatal</t>
  </si>
  <si>
    <t>Genetic (MMUT)
Diagnosis: Neonatal</t>
  </si>
  <si>
    <t>Genetic (NAGLU)
Diagnosis: Adolescence - early adulthood</t>
  </si>
  <si>
    <t>Genetic (SGSH)
Diagnosis: Adolescence - early adulthood</t>
  </si>
  <si>
    <t>Genetic (IDUA)
Severe: emergence - Infantile
Attenuated: emergence - childhood</t>
  </si>
  <si>
    <t>Genetic (IDS)
Severe: emergence - Infantile
Mild: emergence - childhood</t>
  </si>
  <si>
    <t>Genetic (ARSB)
Severe: Infantile
Mild: childhood</t>
  </si>
  <si>
    <t>Genetic (SNCA)
Diagnosis: 55-60 (range: 30-90)</t>
  </si>
  <si>
    <t xml:space="preserve">Diagnosis: 20-40; </t>
  </si>
  <si>
    <t>Genetic (MTM1)
Diagnosis: Neonatal</t>
  </si>
  <si>
    <t>Genetic (SPINK5)
Diagnosis: Neonatal</t>
  </si>
  <si>
    <t>Genetic (PIGA)
Diagnosis: Neonatal</t>
  </si>
  <si>
    <t>Genetic (PKLR)
Diagnosis: Neonatal</t>
  </si>
  <si>
    <t>Genetic (ABCB4)
Diagnosis: Neonatal</t>
  </si>
  <si>
    <t>Genetic (MECP2)
Diagnosis: Neonatal</t>
  </si>
  <si>
    <t>Genetic (ADA)
Diagnosis: Neonatal</t>
  </si>
  <si>
    <t>Genetic (DCLRE1C)
Diagnosis: Neonatal</t>
  </si>
  <si>
    <t>Genetic (IL2RG)
Diagnosis: Neonatal</t>
  </si>
  <si>
    <t>Genetic (MMP1)
Diagnosis: Neonatal</t>
  </si>
  <si>
    <t xml:space="preserve">Genetic (HBB, BCL11A)
Diagnosis: </t>
  </si>
  <si>
    <t xml:space="preserve">Genetic (USH2A)
Diagnosis: </t>
  </si>
  <si>
    <t>Genetic (ATP7B)
Diagnosis: Neonatal</t>
  </si>
  <si>
    <t>Genetic (WAS)
Diagnosis: Neonatal</t>
  </si>
  <si>
    <t>Genetic (LIPA)
Diagnosis: Neonatal</t>
  </si>
  <si>
    <t>Genetic (SERPINA1)
Diagnosis: Neonatal or &gt; 40</t>
  </si>
  <si>
    <t xml:space="preserve"> Diagnosis: 30-50 years</t>
  </si>
  <si>
    <t>10-30 years after diagnosis</t>
  </si>
  <si>
    <t>Genetic (TGM1)
Diagnosis: Neonatal</t>
  </si>
  <si>
    <t>Genetic (CEP290, RPE65)
Diagnosis: Infancy</t>
  </si>
  <si>
    <t>Genetic (ND1, ND4)
Diagnosis: ealy adulthood</t>
  </si>
  <si>
    <t>Symptoms</t>
  </si>
  <si>
    <t xml:space="preserve">Market Adjustment Tool </t>
  </si>
  <si>
    <t xml:space="preserve">Population Estimator Tool - Identification of disease incidence and prevalence specific to the genetic therapy and payer type. </t>
  </si>
  <si>
    <t xml:space="preserve">Therapy Impact Modeling Tool - Plan specific estimations of actuarial risks and financial burden based on costs of the population likely to be treated. </t>
  </si>
  <si>
    <t>The Payer- Individual Indication workbook consists of four pages for payer input:</t>
  </si>
  <si>
    <t xml:space="preserve">that will influence provider and patient decisions to treat and apply an adjustment for market penetration.  Inputs to estimate the product adoption curve may also be used to define treatment numbers.  </t>
  </si>
  <si>
    <r>
      <t xml:space="preserve">The </t>
    </r>
    <r>
      <rPr>
        <b/>
        <sz val="11"/>
        <color theme="1"/>
        <rFont val="Calibri"/>
        <family val="2"/>
        <scheme val="minor"/>
      </rPr>
      <t xml:space="preserve">Market Adjustment Tool </t>
    </r>
    <r>
      <rPr>
        <sz val="11"/>
        <color theme="1"/>
        <rFont val="Calibri"/>
        <family val="2"/>
        <scheme val="minor"/>
      </rPr>
      <t xml:space="preserve">helps stakeholders assess the portion of treatment eligible patients that will likely be treated.  Descriptions of the disease are to inform stakeholders of factors </t>
    </r>
  </si>
  <si>
    <t>Population Summary</t>
  </si>
  <si>
    <t>Step 1: Adjust for numbers of individuals likely to be treated from those actually eligible for treatment.</t>
  </si>
  <si>
    <t xml:space="preserve">Consider the data below to help in determining any adjustment to incident and prevalent populations. </t>
  </si>
  <si>
    <t xml:space="preserve">1. To what degree would the therapy's impact on life expectancy promote product demand? </t>
  </si>
  <si>
    <t>2. To what degree would symptom severity and impact on quality of life promote product demand?</t>
  </si>
  <si>
    <t>Therapeutic class</t>
  </si>
  <si>
    <t xml:space="preserve"> </t>
  </si>
  <si>
    <t xml:space="preserve">This workbook is a modeling tool for plan-specific estimates of the financial impact from  clinically eligible population seeking treatment.  It is based on disease specific inputs used in the  </t>
  </si>
  <si>
    <t xml:space="preserve"> impact on an organization. </t>
  </si>
  <si>
    <t xml:space="preserve">Market Adjustment Tool - Consideration of factors impacting treatment as the LIKELY TO BE TREATED population is expected to be smaller than the  treatment eligible population. </t>
  </si>
  <si>
    <t xml:space="preserve">Solution Prioritization Tool - Summarization of the therapy's financial impact and strategy considerations for payments. </t>
  </si>
  <si>
    <t>Worksheet Inputs</t>
  </si>
  <si>
    <t xml:space="preserve">Additional associated costs </t>
  </si>
  <si>
    <r>
      <t xml:space="preserve">The </t>
    </r>
    <r>
      <rPr>
        <b/>
        <sz val="11"/>
        <color theme="1"/>
        <rFont val="Calibri"/>
        <family val="2"/>
        <scheme val="minor"/>
      </rPr>
      <t>Population Estimator Tool</t>
    </r>
    <r>
      <rPr>
        <sz val="11"/>
        <color theme="1"/>
        <rFont val="Calibri"/>
        <family val="2"/>
        <scheme val="minor"/>
      </rPr>
      <t xml:space="preserve"> helps stakeholders assess the potential patient population associated with an indication that may be treated with gene or cell therapy. Subpopulations are to be selected for the cell or gene therapy of interest.  Inputs of payer type and payer size are possible to clarify an organization's potential for treatment of a patient. </t>
    </r>
  </si>
  <si>
    <r>
      <t xml:space="preserve">The </t>
    </r>
    <r>
      <rPr>
        <b/>
        <sz val="11"/>
        <color theme="1"/>
        <rFont val="Calibri"/>
        <family val="2"/>
        <scheme val="minor"/>
      </rPr>
      <t>Market Adjustment Tool</t>
    </r>
    <r>
      <rPr>
        <sz val="11"/>
        <color theme="1"/>
        <rFont val="Calibri"/>
        <family val="2"/>
        <scheme val="minor"/>
      </rPr>
      <t xml:space="preserve"> helps stakeholders assess the portion of treatment eligible patients that will likely be treated.  Descriptions of the disease are provided to inform stakeholders of factors that will influence provider and patient treatment decisions and apply an adjustment for market penetration.  Inputs to estimate the product adoption curve may also be adjusted to define treatment numbers. </t>
    </r>
  </si>
  <si>
    <r>
      <t xml:space="preserve">The </t>
    </r>
    <r>
      <rPr>
        <b/>
        <sz val="11"/>
        <color theme="1"/>
        <rFont val="Calibri"/>
        <family val="2"/>
        <scheme val="minor"/>
      </rPr>
      <t>Therapy Impact Modeling Tool</t>
    </r>
    <r>
      <rPr>
        <sz val="11"/>
        <color theme="1"/>
        <rFont val="Calibri"/>
        <family val="2"/>
        <scheme val="minor"/>
      </rPr>
      <t xml:space="preserve"> helps payers understand the expected per member per month (PMPM) impact the indication could have on a plan and its actuarial volatility.  Cost of therapy for a condition is pre-set based on historical data.  Stakeholder input allows for therapy costs to be overridden and to add additional costs such as administration.  The workbook may be set for display of the expected outcome or allow for randomized views of actuarial risk using the F9 function key.</t>
    </r>
  </si>
  <si>
    <r>
      <t>The</t>
    </r>
    <r>
      <rPr>
        <b/>
        <sz val="11"/>
        <color theme="1"/>
        <rFont val="Calibri"/>
        <family val="2"/>
        <scheme val="minor"/>
      </rPr>
      <t xml:space="preserve"> Solution Prioritization Tool</t>
    </r>
    <r>
      <rPr>
        <sz val="11"/>
        <color theme="1"/>
        <rFont val="Calibri"/>
        <family val="2"/>
        <scheme val="minor"/>
      </rPr>
      <t xml:space="preserve"> builds on the insights from the expected financial therapy impact as detailed  in the Therapy Impact Modeling Tool and on your organization’s preferences, to help you assess precision financing needs for your organization.  Based on the choices you make, the Solution Prioritization Tool suggests possible financing solutions.  Additional considerations for implementing the solution is also provided. </t>
    </r>
  </si>
  <si>
    <t>Modeling Tool</t>
  </si>
  <si>
    <t>Inputs to Prepare</t>
  </si>
  <si>
    <r>
      <rPr>
        <b/>
        <sz val="11"/>
        <color theme="1"/>
        <rFont val="Calibri"/>
        <family val="2"/>
        <scheme val="minor"/>
      </rPr>
      <t xml:space="preserve">Therapeutic class in review
Disease of interest
Genetic subpopulation of interest
Payer membership by line of business </t>
    </r>
    <r>
      <rPr>
        <sz val="11"/>
        <color theme="1"/>
        <rFont val="Calibri"/>
        <family val="2"/>
        <scheme val="minor"/>
      </rPr>
      <t xml:space="preserve"> </t>
    </r>
    <r>
      <rPr>
        <sz val="9"/>
        <color theme="1"/>
        <rFont val="Calibri"/>
        <family val="2"/>
        <scheme val="minor"/>
      </rPr>
      <t>(</t>
    </r>
    <r>
      <rPr>
        <i/>
        <sz val="9"/>
        <color theme="1"/>
        <rFont val="Calibri"/>
        <family val="2"/>
        <scheme val="minor"/>
      </rPr>
      <t>Medicare/Medicaid/Not Medicare or Medicaid)</t>
    </r>
  </si>
  <si>
    <t>Therapy cost per patient (default cost provided)
Additional associated costs
Additional contract offsets from rebates, secondary insurance, etc.</t>
  </si>
  <si>
    <r>
      <t>Bold -</t>
    </r>
    <r>
      <rPr>
        <sz val="11"/>
        <rFont val="Calibri"/>
        <family val="2"/>
        <scheme val="minor"/>
      </rPr>
      <t xml:space="preserve">required; </t>
    </r>
    <r>
      <rPr>
        <b/>
        <sz val="11"/>
        <color theme="5"/>
        <rFont val="Calibri"/>
        <family val="2"/>
        <scheme val="minor"/>
      </rPr>
      <t xml:space="preserve">Orange </t>
    </r>
    <r>
      <rPr>
        <b/>
        <sz val="11"/>
        <color theme="5" tint="-0.249977111117893"/>
        <rFont val="Calibri"/>
        <family val="2"/>
        <scheme val="minor"/>
      </rPr>
      <t>-</t>
    </r>
    <r>
      <rPr>
        <sz val="11"/>
        <color theme="1"/>
        <rFont val="Calibri"/>
        <family val="2"/>
        <scheme val="minor"/>
      </rPr>
      <t>optional input</t>
    </r>
  </si>
  <si>
    <t>Working knowledge of budget and cash flow implications unanticipated costs; 
Numbers of existing patients anticipated to seek treatment if evaluating a prevalent disease condition; 
Organizational desire/readiness for performance based contracting to protect financial outlay associated with therapy.</t>
  </si>
  <si>
    <t xml:space="preserve">MIT FoCUS' Pipeline Analysis Model. The worksheets sequentially address key aspects of a particular disease treated by a cell or gene therapy, to assess the treatment's potential financial </t>
  </si>
  <si>
    <t>The data you provide on the population estimator and market adjustment worksheets will be used as inputs to the therapy impact modeling tool that illustrates the impact on your business. This specific impact will be summarized on the solution prioritization tool to help suggest preferred financing solutions to consider based on the experiences of FoCUS members and pilots.</t>
  </si>
  <si>
    <r>
      <t xml:space="preserve">Please note on each worksheet:  </t>
    </r>
    <r>
      <rPr>
        <b/>
        <sz val="11"/>
        <rFont val="Calibri"/>
        <family val="2"/>
        <scheme val="minor"/>
      </rPr>
      <t>White</t>
    </r>
    <r>
      <rPr>
        <sz val="11"/>
        <rFont val="Calibri"/>
        <family val="2"/>
        <scheme val="minor"/>
      </rPr>
      <t xml:space="preserve"> cells are calculated cells and cannot be changed - they have been password protected; </t>
    </r>
    <r>
      <rPr>
        <b/>
        <sz val="11"/>
        <rFont val="Calibri"/>
        <family val="2"/>
        <scheme val="minor"/>
      </rPr>
      <t xml:space="preserve">Green </t>
    </r>
    <r>
      <rPr>
        <sz val="11"/>
        <rFont val="Calibri"/>
        <family val="2"/>
        <scheme val="minor"/>
      </rPr>
      <t xml:space="preserve">cells require user input; </t>
    </r>
    <r>
      <rPr>
        <b/>
        <sz val="11"/>
        <rFont val="Calibri"/>
        <family val="2"/>
        <scheme val="minor"/>
      </rPr>
      <t>Orange</t>
    </r>
    <r>
      <rPr>
        <sz val="11"/>
        <rFont val="Calibri"/>
        <family val="2"/>
        <scheme val="minor"/>
      </rPr>
      <t xml:space="preserve"> cells are optional user-input cells to override selected calculated assumptions</t>
    </r>
  </si>
  <si>
    <r>
      <rPr>
        <b/>
        <sz val="11"/>
        <color theme="5" tint="-0.249977111117893"/>
        <rFont val="Calibri"/>
        <family val="2"/>
        <scheme val="minor"/>
      </rPr>
      <t>Adjustment factor for market penetration of  less than 100%. 
Market adoption rate (default rate provided)
Plan specific numbers of patients to be treated, if known.</t>
    </r>
    <r>
      <rPr>
        <sz val="11"/>
        <color theme="5" tint="-0.249977111117893"/>
        <rFont val="Calibri"/>
        <family val="2"/>
        <scheme val="minor"/>
      </rPr>
      <t xml:space="preserve"> </t>
    </r>
    <r>
      <rPr>
        <sz val="11"/>
        <color theme="1"/>
        <rFont val="Calibri"/>
        <family val="2"/>
        <scheme val="minor"/>
      </rPr>
      <t xml:space="preserve"> </t>
    </r>
  </si>
  <si>
    <t xml:space="preserve">Indication   </t>
  </si>
  <si>
    <t xml:space="preserve">Plan Type   </t>
  </si>
  <si>
    <t xml:space="preserve">Plan Size   </t>
  </si>
  <si>
    <t>Plan type rate per 100,000 lives</t>
  </si>
  <si>
    <t>Therapeutic Cost (annual)</t>
  </si>
  <si>
    <r>
      <rPr>
        <u/>
        <sz val="11"/>
        <color theme="1"/>
        <rFont val="Calibri"/>
        <family val="2"/>
        <scheme val="minor"/>
      </rPr>
      <t>Incidence and Prevalence</t>
    </r>
    <r>
      <rPr>
        <sz val="11"/>
        <color theme="1"/>
        <rFont val="Calibri"/>
        <family val="2"/>
        <scheme val="minor"/>
      </rPr>
      <t>. The white cells below pull the estimated treated population from your work in Step 1 above.</t>
    </r>
  </si>
  <si>
    <t xml:space="preserve">These numbers reflect any adjustments made to the General Population incidence and prevalence rates for payer type  and/or market penetration projections..   </t>
  </si>
  <si>
    <t xml:space="preserve"> Payer Type Estimate per 100,000</t>
  </si>
  <si>
    <t>Plan specific patient volumes</t>
  </si>
  <si>
    <t>Plan Specific Patient Volume</t>
  </si>
  <si>
    <r>
      <t xml:space="preserve">This </t>
    </r>
    <r>
      <rPr>
        <b/>
        <sz val="11"/>
        <color theme="1"/>
        <rFont val="Calibri"/>
        <family val="2"/>
        <scheme val="minor"/>
      </rPr>
      <t>Therapy Impact Model</t>
    </r>
    <r>
      <rPr>
        <sz val="11"/>
        <color theme="1"/>
        <rFont val="Calibri"/>
        <family val="2"/>
        <scheme val="minor"/>
      </rPr>
      <t xml:space="preserve"> leverages the information from the Population Estimator and Market Adjustment Tools to show the potential impact of the selected therapy on the user's business.</t>
    </r>
  </si>
  <si>
    <t>Adjusted Population Summary</t>
  </si>
  <si>
    <t>Market Penetration Adjusted Rates</t>
  </si>
  <si>
    <t>Step 2:  Review the expected risk to your plan based on the assumptions above</t>
  </si>
  <si>
    <t xml:space="preserve">        95% of the Time,   Outcomes will not Exceed about…   </t>
  </si>
  <si>
    <t>User-entered prevalence</t>
  </si>
  <si>
    <t xml:space="preserve">For example, you might want to assume a more gradual ramp in, with fewer than 100% of eligible patients being treated in the early years. </t>
  </si>
  <si>
    <t xml:space="preserve">This workbook is a modeling tool to help users assess plan-specific estimates of the clinically eligible population seeking treatment based on MIT FoCUS' Pipeline Analysis Model.  </t>
  </si>
  <si>
    <t xml:space="preserve">Data is carried over from the Population Estimator Tool </t>
  </si>
  <si>
    <t xml:space="preserve">Plan specific patient volumes (Row 58) represent those that meet the eligibility criteria for treatment.  Market penetration adjusts the eligible patient volume to those likely to be treated. </t>
  </si>
  <si>
    <t xml:space="preserve">3. To what degree would alternative treatments or costs for current standard of care promote product demand? </t>
  </si>
  <si>
    <t>The model's default assumption is that 100% of eligible incident patients are treated each year and 100% of prevalent patients are treated in the first year. You may wish to modify theses assumptions.</t>
  </si>
  <si>
    <t>Do you want to use the default assumptions?</t>
  </si>
  <si>
    <t>Uptake assumptions for incident patients:</t>
  </si>
  <si>
    <t>Uptake assumption for prevalent patients:</t>
  </si>
  <si>
    <t>Prevalent Patients Treated, by Year (#)</t>
  </si>
  <si>
    <t>Total Patients Treated (#)</t>
  </si>
  <si>
    <t xml:space="preserve">  This is the number of years taken to treat all prevalent patients. (As far as possible the same number of patients will be treated each year.) The yearly schedule implied by your selection is shown below</t>
  </si>
  <si>
    <t>Incident Patients Treated, by Year (#)</t>
  </si>
  <si>
    <t>Expected Treated Patients Given Your Uptake/Adoption Assumptions</t>
  </si>
  <si>
    <t>Note that untreated incident patients each year are added to the prevalent pool</t>
  </si>
  <si>
    <t xml:space="preserve"> % Prevalent Patients Remaining Eligible</t>
  </si>
  <si>
    <t xml:space="preserve">  Most commonly this would be 100%. A lower percentage might be used to reflect mortality in the prevalent population.</t>
  </si>
  <si>
    <t>User Selected Values</t>
  </si>
  <si>
    <r>
      <rPr>
        <b/>
        <sz val="11"/>
        <color theme="1"/>
        <rFont val="Calibri"/>
        <family val="2"/>
        <scheme val="minor"/>
      </rPr>
      <t>Adoption Curve</t>
    </r>
    <r>
      <rPr>
        <sz val="11"/>
        <color theme="1"/>
        <rFont val="Calibri"/>
        <family val="2"/>
        <scheme val="minor"/>
      </rPr>
      <t xml:space="preserve"> </t>
    </r>
  </si>
  <si>
    <t>Adjusted Total US Prevelance per 100,000</t>
  </si>
  <si>
    <t>Adjusted Total US Incidence per 100,000</t>
  </si>
  <si>
    <t>Plan (# of patients)</t>
  </si>
  <si>
    <r>
      <t xml:space="preserve">Please note:  </t>
    </r>
    <r>
      <rPr>
        <b/>
        <sz val="11"/>
        <rFont val="Calibri"/>
        <family val="2"/>
        <scheme val="minor"/>
      </rPr>
      <t>White</t>
    </r>
    <r>
      <rPr>
        <sz val="11"/>
        <rFont val="Calibri"/>
        <family val="2"/>
        <scheme val="minor"/>
      </rPr>
      <t xml:space="preserve"> cells are  password protected; </t>
    </r>
    <r>
      <rPr>
        <b/>
        <sz val="11"/>
        <rFont val="Calibri"/>
        <family val="2"/>
        <scheme val="minor"/>
      </rPr>
      <t>Orange</t>
    </r>
    <r>
      <rPr>
        <sz val="11"/>
        <rFont val="Calibri"/>
        <family val="2"/>
        <scheme val="minor"/>
      </rPr>
      <t xml:space="preserve"> cells are optional user-input cells to override specific assumed or calculated values; Scrolling over </t>
    </r>
    <r>
      <rPr>
        <b/>
        <sz val="11"/>
        <rFont val="Calibri"/>
        <family val="2"/>
        <scheme val="minor"/>
      </rPr>
      <t>Pink</t>
    </r>
    <r>
      <rPr>
        <sz val="11"/>
        <rFont val="Calibri"/>
        <family val="2"/>
        <scheme val="minor"/>
      </rPr>
      <t xml:space="preserve"> cells provides further information.</t>
    </r>
  </si>
  <si>
    <t>Clinically relevant population</t>
  </si>
  <si>
    <r>
      <t xml:space="preserve">Please note:  </t>
    </r>
    <r>
      <rPr>
        <b/>
        <sz val="11"/>
        <rFont val="Calibri"/>
        <family val="2"/>
        <scheme val="minor"/>
      </rPr>
      <t>White</t>
    </r>
    <r>
      <rPr>
        <sz val="11"/>
        <rFont val="Calibri"/>
        <family val="2"/>
        <scheme val="minor"/>
      </rPr>
      <t xml:space="preserve"> cells are password protected; </t>
    </r>
    <r>
      <rPr>
        <b/>
        <sz val="11"/>
        <rFont val="Calibri"/>
        <family val="2"/>
        <scheme val="minor"/>
      </rPr>
      <t xml:space="preserve">Green </t>
    </r>
    <r>
      <rPr>
        <sz val="11"/>
        <rFont val="Calibri"/>
        <family val="2"/>
        <scheme val="minor"/>
      </rPr>
      <t xml:space="preserve">cells require user input; </t>
    </r>
    <r>
      <rPr>
        <b/>
        <sz val="11"/>
        <rFont val="Calibri"/>
        <family val="2"/>
        <scheme val="minor"/>
      </rPr>
      <t xml:space="preserve">Orange </t>
    </r>
    <r>
      <rPr>
        <sz val="11"/>
        <rFont val="Calibri"/>
        <family val="2"/>
        <scheme val="minor"/>
      </rPr>
      <t xml:space="preserve">cells are optional user-input cells to override specific assumed or calculated values; Scrolling over </t>
    </r>
    <r>
      <rPr>
        <b/>
        <sz val="11"/>
        <rFont val="Calibri"/>
        <family val="2"/>
        <scheme val="minor"/>
      </rPr>
      <t xml:space="preserve">Pink </t>
    </r>
    <r>
      <rPr>
        <sz val="11"/>
        <rFont val="Calibri"/>
        <family val="2"/>
        <scheme val="minor"/>
      </rPr>
      <t>cells provides further information.</t>
    </r>
  </si>
  <si>
    <r>
      <t>The</t>
    </r>
    <r>
      <rPr>
        <b/>
        <sz val="11"/>
        <rFont val="Calibri"/>
        <family val="2"/>
        <scheme val="minor"/>
      </rPr>
      <t xml:space="preserve"> Population Estimator Tool</t>
    </r>
    <r>
      <rPr>
        <sz val="11"/>
        <rFont val="Calibri"/>
        <family val="2"/>
        <scheme val="minor"/>
      </rPr>
      <t xml:space="preserve"> helps stakeholders assess the potential patient population associated with an indication that may be treated with gene or cell therapy. The Tool allows you to take FoCUS's estimated clinically-relevant national incidence and prevalence estimates and apply simple population ratios to get a sense of the potential number of patients in your plan for individual product indications. The Population Estimator Tool allows ratios based on total member population versus a selected population segment.</t>
    </r>
  </si>
  <si>
    <t xml:space="preserve">This data is carried over from the Market Adjustment  Tool </t>
  </si>
  <si>
    <t>Certain elements of the model may be modified by the user.</t>
  </si>
  <si>
    <t>Expected launch year for the therapy</t>
  </si>
  <si>
    <r>
      <t xml:space="preserve">  If</t>
    </r>
    <r>
      <rPr>
        <b/>
        <sz val="11"/>
        <color theme="1"/>
        <rFont val="Calibri"/>
        <family val="2"/>
        <scheme val="minor"/>
      </rPr>
      <t xml:space="preserve"> No</t>
    </r>
    <r>
      <rPr>
        <sz val="11"/>
        <color theme="1"/>
        <rFont val="Calibri"/>
        <family val="2"/>
        <scheme val="minor"/>
      </rPr>
      <t>, enter the expected launch year for the therapy below.</t>
    </r>
  </si>
  <si>
    <t xml:space="preserve">  It generally makes sense for estimates of therapy impact to begin with the launch year for the treatment of interest.</t>
  </si>
  <si>
    <t xml:space="preserve"> % of Prevalent Patient Pool Treated Each Year</t>
  </si>
  <si>
    <t>Detailed instructions on completing  this worksheet tool may be found here:  Individual Indication Workbook background</t>
  </si>
  <si>
    <t>Detailed instructions on completing  this worksheet tool may be found here:   Individual Indication Workbook background</t>
  </si>
  <si>
    <t xml:space="preserve">Detailed instructions on completing  this worksheet tool may be found here:  Individual Indication Workbook background  </t>
  </si>
  <si>
    <t>Text for Oncology in Market Adjustment Tool</t>
  </si>
  <si>
    <t>The degree of variability in patient demographic and disease profiles ​nullifies the ability to use the market penetration concepts applied in gene therapy for this indication.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</si>
</sst>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3" formatCode="_(* #,##0.00_);_(* \(#,##0.00\);_(* &quot;-&quot;??_);_(@_)"/>
    <numFmt numFmtId="164" formatCode="_(* #,##0_);_(* \(#,##0\);_(* &quot;-&quot;??_);_(@_)"/>
    <numFmt numFmtId="165" formatCode="&quot;$&quot;#,##0.0_);[Red]\(&quot;$&quot;#,##0.0\)"/>
    <numFmt numFmtId="166" formatCode="0.0%"/>
    <numFmt numFmtId="167" formatCode="#,##0.0_);\(#,##0.0\)"/>
    <numFmt numFmtId="168" formatCode="0.0"/>
    <numFmt numFmtId="169" formatCode="&quot;$&quot;#,##0.00"/>
    <numFmt numFmtId="170" formatCode="&quot;$&quot;#,##0.0"/>
    <numFmt numFmtId="171" formatCode="&quot;$&quot;#,##0"/>
    <numFmt numFmtId="172" formatCode="#,##0.0"/>
  </numFmts>
  <fonts count="64">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b/>
      <sz val="11"/>
      <color theme="0"/>
      <name val="Calibri"/>
      <family val="2"/>
      <scheme val="minor"/>
    </font>
    <font>
      <i/>
      <sz val="9"/>
      <color theme="1"/>
      <name val="Calibri"/>
      <family val="2"/>
      <scheme val="minor"/>
    </font>
    <font>
      <sz val="9"/>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color theme="1"/>
      <name val="Calibri"/>
      <family val="2"/>
      <scheme val="minor"/>
    </font>
    <font>
      <i/>
      <sz val="9"/>
      <color rgb="FF00B0F0"/>
      <name val="Calibri"/>
      <family val="2"/>
      <scheme val="minor"/>
    </font>
    <font>
      <b/>
      <u/>
      <sz val="11"/>
      <color theme="1"/>
      <name val="Calibri"/>
      <family val="2"/>
      <scheme val="minor"/>
    </font>
    <font>
      <sz val="11"/>
      <color rgb="FF00B0F0"/>
      <name val="Calibri"/>
      <family val="2"/>
      <scheme val="minor"/>
    </font>
    <font>
      <sz val="9"/>
      <color indexed="81"/>
      <name val="Tahoma"/>
      <family val="2"/>
    </font>
    <font>
      <b/>
      <sz val="9"/>
      <color indexed="81"/>
      <name val="Tahoma"/>
      <family val="2"/>
    </font>
    <font>
      <i/>
      <sz val="9"/>
      <name val="Calibri"/>
      <family val="2"/>
      <scheme val="minor"/>
    </font>
    <font>
      <i/>
      <sz val="10"/>
      <color theme="1"/>
      <name val="Calibri"/>
      <family val="2"/>
      <scheme val="minor"/>
    </font>
    <font>
      <sz val="11"/>
      <color rgb="FF595959"/>
      <name val="Franklin Gothic Book"/>
      <family val="2"/>
    </font>
    <font>
      <u/>
      <sz val="11"/>
      <color theme="10"/>
      <name val="Calibri"/>
      <family val="2"/>
      <scheme val="minor"/>
    </font>
    <font>
      <sz val="11"/>
      <color theme="4"/>
      <name val="Calibri"/>
      <family val="2"/>
      <scheme val="minor"/>
    </font>
    <font>
      <b/>
      <sz val="11"/>
      <name val="Calibri"/>
      <family val="2"/>
      <scheme val="minor"/>
    </font>
    <font>
      <i/>
      <sz val="11"/>
      <name val="Calibri"/>
      <family val="2"/>
      <scheme val="minor"/>
    </font>
    <font>
      <b/>
      <sz val="11"/>
      <color rgb="FF272727"/>
      <name val="Neue-haas-grotesk-text"/>
    </font>
    <font>
      <b/>
      <sz val="22"/>
      <color rgb="FF357632"/>
      <name val="Neue-haas-grotesk-text"/>
    </font>
    <font>
      <sz val="8.8000000000000007"/>
      <color rgb="FF000000"/>
      <name val="Neue-haas-grotesk-text"/>
    </font>
    <font>
      <b/>
      <sz val="8.8000000000000007"/>
      <color rgb="FF357632"/>
      <name val="Neue-haas-grotesk-text"/>
    </font>
    <font>
      <sz val="10"/>
      <name val="Arial"/>
      <family val="2"/>
    </font>
    <font>
      <sz val="10"/>
      <color theme="1"/>
      <name val="Arial"/>
      <family val="2"/>
    </font>
    <font>
      <u/>
      <sz val="11"/>
      <color theme="11"/>
      <name val="Calibri"/>
      <family val="2"/>
      <scheme val="minor"/>
    </font>
    <font>
      <sz val="8"/>
      <name val="Calibri"/>
      <family val="2"/>
      <scheme val="minor"/>
    </font>
    <font>
      <b/>
      <u/>
      <sz val="14"/>
      <color theme="1"/>
      <name val="Calibri"/>
      <family val="2"/>
      <scheme val="minor"/>
    </font>
    <font>
      <b/>
      <u/>
      <sz val="14"/>
      <name val="Calibri"/>
      <family val="2"/>
      <scheme val="minor"/>
    </font>
    <font>
      <b/>
      <sz val="16"/>
      <color theme="1"/>
      <name val="Calibri"/>
      <family val="2"/>
      <scheme val="minor"/>
    </font>
    <font>
      <b/>
      <sz val="18"/>
      <color theme="1"/>
      <name val="Calibri"/>
      <family val="2"/>
      <scheme val="minor"/>
    </font>
    <font>
      <i/>
      <u/>
      <sz val="11"/>
      <name val="Calibri"/>
      <family val="2"/>
      <scheme val="minor"/>
    </font>
    <font>
      <sz val="11"/>
      <color theme="0"/>
      <name val="Calibri"/>
      <family val="2"/>
      <scheme val="minor"/>
    </font>
    <font>
      <sz val="11"/>
      <color rgb="FF000000"/>
      <name val="Calibri"/>
      <family val="2"/>
      <scheme val="minor"/>
    </font>
    <font>
      <sz val="12"/>
      <color theme="0"/>
      <name val="Calibri"/>
      <family val="2"/>
      <scheme val="minor"/>
    </font>
    <font>
      <sz val="10"/>
      <color theme="1"/>
      <name val="Calibri"/>
      <family val="2"/>
      <scheme val="minor"/>
    </font>
    <font>
      <b/>
      <sz val="11"/>
      <color rgb="FF000000"/>
      <name val="Calibri"/>
      <family val="2"/>
      <scheme val="minor"/>
    </font>
    <font>
      <sz val="9"/>
      <name val="Calibri"/>
      <family val="2"/>
      <scheme val="minor"/>
    </font>
    <font>
      <sz val="12"/>
      <color rgb="FF878787"/>
      <name val="Calibri"/>
      <family val="2"/>
      <scheme val="minor"/>
    </font>
    <font>
      <i/>
      <sz val="12"/>
      <color rgb="FF878787"/>
      <name val="Calibri"/>
      <family val="2"/>
      <scheme val="minor"/>
    </font>
    <font>
      <b/>
      <sz val="12"/>
      <color rgb="FF878787"/>
      <name val="Calibri"/>
      <family val="2"/>
      <scheme val="minor"/>
    </font>
    <font>
      <sz val="12"/>
      <color theme="1"/>
      <name val="Calibri"/>
      <family val="2"/>
      <scheme val="minor"/>
    </font>
    <font>
      <sz val="11"/>
      <color rgb="FF202020"/>
      <name val="Calibri"/>
      <family val="2"/>
      <scheme val="minor"/>
    </font>
    <font>
      <sz val="12"/>
      <name val="Calibri"/>
      <family val="2"/>
      <scheme val="minor"/>
    </font>
    <font>
      <sz val="11"/>
      <color theme="1"/>
      <name val="Calibri"/>
      <family val="2"/>
    </font>
    <font>
      <b/>
      <u/>
      <sz val="14"/>
      <color rgb="FF595959"/>
      <name val="Calibri"/>
      <family val="2"/>
      <scheme val="minor"/>
    </font>
    <font>
      <b/>
      <sz val="11"/>
      <color theme="5"/>
      <name val="Calibri"/>
      <family val="2"/>
      <scheme val="minor"/>
    </font>
    <font>
      <b/>
      <sz val="11"/>
      <color theme="5" tint="-0.249977111117893"/>
      <name val="Calibri"/>
      <family val="2"/>
      <scheme val="minor"/>
    </font>
    <font>
      <sz val="11"/>
      <color theme="5" tint="-0.249977111117893"/>
      <name val="Calibri"/>
      <family val="2"/>
      <scheme val="minor"/>
    </font>
    <font>
      <b/>
      <sz val="12"/>
      <name val="Calibri"/>
      <family val="2"/>
      <scheme val="minor"/>
    </font>
    <font>
      <i/>
      <sz val="10"/>
      <name val="Calibri"/>
      <family val="2"/>
      <scheme val="minor"/>
    </font>
    <font>
      <i/>
      <sz val="11"/>
      <color rgb="FFFF0000"/>
      <name val="Calibri"/>
      <family val="2"/>
      <scheme val="minor"/>
    </font>
    <font>
      <b/>
      <i/>
      <u/>
      <sz val="11"/>
      <name val="Calibri"/>
      <family val="2"/>
      <scheme val="minor"/>
    </font>
    <font>
      <u/>
      <sz val="14"/>
      <color theme="1"/>
      <name val="Calibri"/>
      <family val="2"/>
      <scheme val="minor"/>
    </font>
    <font>
      <b/>
      <i/>
      <sz val="11"/>
      <name val="Calibri"/>
      <family val="2"/>
      <scheme val="minor"/>
    </font>
    <font>
      <sz val="18"/>
      <color theme="1"/>
      <name val="Calibri"/>
      <family val="2"/>
      <scheme val="minor"/>
    </font>
    <font>
      <b/>
      <sz val="9"/>
      <color rgb="FF000000"/>
      <name val="Tahoma"/>
      <family val="2"/>
    </font>
    <font>
      <sz val="9"/>
      <color rgb="FF000000"/>
      <name val="Tahoma"/>
      <family val="2"/>
    </font>
  </fonts>
  <fills count="15">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39997558519241921"/>
        <bgColor indexed="64"/>
      </patternFill>
    </fill>
    <fill>
      <patternFill patternType="solid">
        <fgColor rgb="FF405DEE"/>
        <bgColor indexed="64"/>
      </patternFill>
    </fill>
    <fill>
      <patternFill patternType="solid">
        <fgColor rgb="FF405DEE"/>
        <bgColor theme="4"/>
      </patternFill>
    </fill>
    <fill>
      <patternFill patternType="solid">
        <fgColor theme="9" tint="-0.249977111117893"/>
        <bgColor indexed="64"/>
      </patternFill>
    </fill>
    <fill>
      <patternFill patternType="solid">
        <fgColor theme="5" tint="0.39997558519241921"/>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theme="4" tint="0.39991454817346722"/>
      </right>
      <top style="thin">
        <color theme="4" tint="0.39991454817346722"/>
      </top>
      <bottom style="thin">
        <color theme="4" tint="0.39991454817346722"/>
      </bottom>
      <diagonal/>
    </border>
    <border>
      <left style="thin">
        <color auto="1"/>
      </left>
      <right style="thin">
        <color theme="4" tint="0.39991454817346722"/>
      </right>
      <top style="thin">
        <color auto="1"/>
      </top>
      <bottom style="thin">
        <color auto="1"/>
      </bottom>
      <diagonal/>
    </border>
    <border>
      <left style="thin">
        <color theme="4" tint="0.39991454817346722"/>
      </left>
      <right style="thin">
        <color auto="1"/>
      </right>
      <top style="thin">
        <color auto="1"/>
      </top>
      <bottom style="thin">
        <color auto="1"/>
      </bottom>
      <diagonal/>
    </border>
    <border>
      <left style="thin">
        <color theme="4" tint="0.39991454817346722"/>
      </left>
      <right/>
      <top style="thin">
        <color theme="4" tint="0.39991454817346722"/>
      </top>
      <bottom style="thin">
        <color theme="4" tint="0.3999145481734672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right style="thin">
        <color auto="1"/>
      </right>
      <top/>
      <bottom/>
      <diagonal/>
    </border>
    <border>
      <left/>
      <right/>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double">
        <color auto="1"/>
      </bottom>
      <diagonal/>
    </border>
    <border>
      <left/>
      <right/>
      <top style="double">
        <color auto="1"/>
      </top>
      <bottom style="thin">
        <color auto="1"/>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thin">
        <color indexed="64"/>
      </top>
      <bottom style="medium">
        <color indexed="64"/>
      </bottom>
      <diagonal/>
    </border>
  </borders>
  <cellStyleXfs count="182">
    <xf numFmtId="0" fontId="0" fillId="0" borderId="0"/>
    <xf numFmtId="43" fontId="8" fillId="0" borderId="0" applyFont="0" applyFill="0" applyBorder="0" applyAlignment="0" applyProtection="0"/>
    <xf numFmtId="9" fontId="8" fillId="0" borderId="0" applyFon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601">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0" fillId="2" borderId="1" xfId="0" applyFill="1" applyBorder="1" applyAlignment="1">
      <alignment horizontal="center"/>
    </xf>
    <xf numFmtId="0" fontId="0" fillId="3" borderId="2" xfId="0" applyFill="1" applyBorder="1" applyAlignment="1">
      <alignment horizontal="left"/>
    </xf>
    <xf numFmtId="0" fontId="0" fillId="0" borderId="2" xfId="0" applyBorder="1" applyAlignment="1">
      <alignment horizontal="left"/>
    </xf>
    <xf numFmtId="0" fontId="0" fillId="0" borderId="0" xfId="0" applyAlignment="1">
      <alignment horizontal="left"/>
    </xf>
    <xf numFmtId="0" fontId="0" fillId="2" borderId="1" xfId="0" applyFill="1" applyBorder="1"/>
    <xf numFmtId="0" fontId="1" fillId="2" borderId="0" xfId="0" applyFont="1" applyFill="1"/>
    <xf numFmtId="0" fontId="0" fillId="0" borderId="1" xfId="0" applyFill="1" applyBorder="1"/>
    <xf numFmtId="0" fontId="1" fillId="2" borderId="1" xfId="0" applyFont="1" applyFill="1" applyBorder="1"/>
    <xf numFmtId="0" fontId="0" fillId="0" borderId="0" xfId="0" applyAlignment="1">
      <alignment horizontal="center"/>
    </xf>
    <xf numFmtId="0" fontId="1" fillId="2" borderId="1" xfId="0" applyFont="1" applyFill="1" applyBorder="1" applyAlignment="1">
      <alignment horizontal="left" indent="1"/>
    </xf>
    <xf numFmtId="0" fontId="1" fillId="2" borderId="1" xfId="0" applyFont="1" applyFill="1" applyBorder="1" applyAlignment="1">
      <alignment horizontal="center" wrapText="1"/>
    </xf>
    <xf numFmtId="0" fontId="0" fillId="0" borderId="0" xfId="0"/>
    <xf numFmtId="0" fontId="1" fillId="0" borderId="0" xfId="0" applyFont="1"/>
    <xf numFmtId="0" fontId="0" fillId="0" borderId="0" xfId="0" applyFont="1"/>
    <xf numFmtId="0" fontId="0" fillId="0" borderId="0" xfId="0" applyBorder="1"/>
    <xf numFmtId="0" fontId="10" fillId="0" borderId="0" xfId="0" applyFont="1"/>
    <xf numFmtId="0" fontId="0" fillId="2" borderId="8" xfId="0" applyFill="1" applyBorder="1"/>
    <xf numFmtId="0" fontId="0" fillId="0" borderId="0" xfId="0" applyFill="1" applyBorder="1"/>
    <xf numFmtId="0" fontId="0" fillId="0" borderId="0" xfId="0" applyAlignment="1"/>
    <xf numFmtId="11" fontId="0" fillId="0" borderId="0" xfId="0" applyNumberFormat="1"/>
    <xf numFmtId="3" fontId="0" fillId="0" borderId="1" xfId="0" applyNumberFormat="1" applyFill="1" applyBorder="1"/>
    <xf numFmtId="9" fontId="0" fillId="0" borderId="1" xfId="2" applyFont="1" applyBorder="1" applyAlignment="1">
      <alignment horizontal="center"/>
    </xf>
    <xf numFmtId="0" fontId="0" fillId="2" borderId="0" xfId="0" applyFill="1"/>
    <xf numFmtId="0" fontId="1" fillId="2" borderId="0" xfId="0" applyFont="1" applyFill="1" applyAlignment="1">
      <alignment horizontal="left" indent="1"/>
    </xf>
    <xf numFmtId="0" fontId="1" fillId="2" borderId="0" xfId="0" applyFont="1" applyFill="1" applyAlignment="1">
      <alignment horizontal="left" indent="2"/>
    </xf>
    <xf numFmtId="0" fontId="0" fillId="0" borderId="0" xfId="0" applyFont="1" applyAlignment="1"/>
    <xf numFmtId="0" fontId="1" fillId="2" borderId="12" xfId="0" applyFont="1" applyFill="1" applyBorder="1" applyAlignment="1">
      <alignment horizontal="center" wrapText="1"/>
    </xf>
    <xf numFmtId="0" fontId="0" fillId="8" borderId="0" xfId="0" applyFill="1"/>
    <xf numFmtId="0" fontId="1" fillId="8" borderId="17" xfId="0" applyFont="1" applyFill="1" applyBorder="1"/>
    <xf numFmtId="0" fontId="0" fillId="8" borderId="18" xfId="0" applyFill="1" applyBorder="1"/>
    <xf numFmtId="0" fontId="1" fillId="8" borderId="0" xfId="0" applyFont="1" applyFill="1"/>
    <xf numFmtId="0" fontId="0" fillId="8" borderId="0" xfId="0" quotePrefix="1" applyFill="1"/>
    <xf numFmtId="0" fontId="0" fillId="2" borderId="3" xfId="0" applyFill="1" applyBorder="1"/>
    <xf numFmtId="0" fontId="0" fillId="2" borderId="9" xfId="0" applyFill="1" applyBorder="1"/>
    <xf numFmtId="0" fontId="0" fillId="2" borderId="4" xfId="0" applyFill="1" applyBorder="1"/>
    <xf numFmtId="0" fontId="0" fillId="8" borderId="19" xfId="0" applyFill="1" applyBorder="1"/>
    <xf numFmtId="0" fontId="0" fillId="8" borderId="12" xfId="0" applyFill="1" applyBorder="1"/>
    <xf numFmtId="0" fontId="0" fillId="8" borderId="7" xfId="0" applyFill="1" applyBorder="1"/>
    <xf numFmtId="0" fontId="0" fillId="2" borderId="19" xfId="0" applyFill="1" applyBorder="1" applyAlignment="1">
      <alignment horizontal="center"/>
    </xf>
    <xf numFmtId="0" fontId="0" fillId="2" borderId="11" xfId="0" applyFill="1" applyBorder="1"/>
    <xf numFmtId="0" fontId="0" fillId="2" borderId="10" xfId="0" applyFill="1" applyBorder="1"/>
    <xf numFmtId="0" fontId="0" fillId="2" borderId="20" xfId="0" applyFill="1" applyBorder="1"/>
    <xf numFmtId="0" fontId="0" fillId="2" borderId="12" xfId="0" applyFill="1" applyBorder="1" applyAlignment="1">
      <alignment horizontal="center"/>
    </xf>
    <xf numFmtId="0" fontId="0" fillId="2" borderId="21" xfId="0" applyFill="1" applyBorder="1"/>
    <xf numFmtId="0" fontId="0" fillId="2" borderId="22" xfId="0" applyFill="1" applyBorder="1"/>
    <xf numFmtId="0" fontId="0" fillId="2" borderId="7" xfId="0" applyFill="1" applyBorder="1" applyAlignment="1">
      <alignment horizontal="center"/>
    </xf>
    <xf numFmtId="0" fontId="0" fillId="0" borderId="0" xfId="0" quotePrefix="1" applyAlignment="1">
      <alignment horizontal="left"/>
    </xf>
    <xf numFmtId="3" fontId="0" fillId="2" borderId="1" xfId="0" applyNumberFormat="1" applyFill="1" applyBorder="1" applyAlignment="1">
      <alignment horizontal="center"/>
    </xf>
    <xf numFmtId="3" fontId="0" fillId="2" borderId="1" xfId="0" applyNumberFormat="1" applyFill="1" applyBorder="1"/>
    <xf numFmtId="3" fontId="0" fillId="0" borderId="0" xfId="0" applyNumberFormat="1" applyBorder="1"/>
    <xf numFmtId="0" fontId="0" fillId="6" borderId="1" xfId="0" applyFill="1" applyBorder="1" applyProtection="1">
      <protection locked="0"/>
    </xf>
    <xf numFmtId="0" fontId="0" fillId="6" borderId="7" xfId="0" applyFill="1" applyBorder="1" applyProtection="1">
      <protection locked="0"/>
    </xf>
    <xf numFmtId="9" fontId="0" fillId="6" borderId="1" xfId="2" applyFont="1" applyFill="1" applyBorder="1" applyAlignment="1" applyProtection="1">
      <alignment horizontal="center"/>
      <protection locked="0"/>
    </xf>
    <xf numFmtId="0" fontId="0" fillId="2" borderId="0" xfId="0" applyFill="1" applyBorder="1"/>
    <xf numFmtId="0" fontId="9" fillId="2" borderId="1" xfId="0" applyFont="1" applyFill="1" applyBorder="1" applyAlignment="1">
      <alignment horizontal="center"/>
    </xf>
    <xf numFmtId="0" fontId="3" fillId="2" borderId="1" xfId="0" applyFont="1" applyFill="1" applyBorder="1" applyAlignment="1">
      <alignment horizontal="center"/>
    </xf>
    <xf numFmtId="0" fontId="1" fillId="2" borderId="0" xfId="0" applyFont="1" applyFill="1" applyBorder="1" applyAlignment="1">
      <alignment horizontal="left" indent="1"/>
    </xf>
    <xf numFmtId="0" fontId="0" fillId="2" borderId="0" xfId="0" applyFill="1" applyBorder="1" applyAlignment="1">
      <alignment horizontal="center"/>
    </xf>
    <xf numFmtId="164" fontId="0" fillId="4" borderId="0" xfId="1" applyNumberFormat="1" applyFont="1" applyFill="1" applyBorder="1" applyProtection="1">
      <protection locked="0"/>
    </xf>
    <xf numFmtId="0" fontId="0" fillId="0" borderId="0" xfId="0"/>
    <xf numFmtId="9" fontId="1" fillId="9" borderId="1" xfId="0" applyNumberFormat="1" applyFont="1" applyFill="1" applyBorder="1" applyAlignment="1" applyProtection="1">
      <alignment horizontal="center" wrapText="1"/>
      <protection locked="0"/>
    </xf>
    <xf numFmtId="0" fontId="23" fillId="0" borderId="0" xfId="0" applyFont="1" applyFill="1"/>
    <xf numFmtId="0" fontId="0" fillId="0" borderId="0" xfId="0" applyFill="1"/>
    <xf numFmtId="0" fontId="1" fillId="0" borderId="0" xfId="0" applyFont="1" applyFill="1"/>
    <xf numFmtId="0" fontId="0" fillId="0" borderId="0" xfId="0" applyFill="1" applyBorder="1" applyAlignment="1">
      <alignment horizontal="center"/>
    </xf>
    <xf numFmtId="0" fontId="0" fillId="0" borderId="0" xfId="0" applyFill="1" applyAlignment="1"/>
    <xf numFmtId="0" fontId="20"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7" fillId="0" borderId="0" xfId="0" applyFont="1" applyFill="1" applyAlignment="1">
      <alignment horizontal="left" vertical="center"/>
    </xf>
    <xf numFmtId="0" fontId="0" fillId="0" borderId="0" xfId="0" applyFill="1" applyAlignment="1">
      <alignment horizontal="left" vertical="center"/>
    </xf>
    <xf numFmtId="0" fontId="27" fillId="0" borderId="0" xfId="0" applyFont="1" applyFill="1" applyAlignment="1">
      <alignment horizontal="left" vertical="center" indent="1"/>
    </xf>
    <xf numFmtId="0" fontId="21" fillId="0" borderId="0" xfId="3" applyFill="1" applyAlignment="1">
      <alignment horizontal="left" vertical="center"/>
    </xf>
    <xf numFmtId="3" fontId="0" fillId="0" borderId="0" xfId="0" applyNumberFormat="1" applyFill="1"/>
    <xf numFmtId="0" fontId="0" fillId="0" borderId="0" xfId="0" applyFill="1" applyAlignment="1">
      <alignment horizontal="center"/>
    </xf>
    <xf numFmtId="3" fontId="0" fillId="0" borderId="1" xfId="0" applyNumberFormat="1" applyFill="1" applyBorder="1" applyAlignment="1">
      <alignment horizontal="center"/>
    </xf>
    <xf numFmtId="0" fontId="29" fillId="0" borderId="1" xfId="0" applyFont="1" applyBorder="1" applyAlignment="1">
      <alignment horizontal="left" vertical="top"/>
    </xf>
    <xf numFmtId="0" fontId="30" fillId="0" borderId="1" xfId="0" applyFont="1" applyBorder="1"/>
    <xf numFmtId="3" fontId="0" fillId="0" borderId="1" xfId="0" applyNumberFormat="1" applyBorder="1"/>
    <xf numFmtId="0" fontId="9" fillId="0" borderId="0" xfId="0" applyFont="1" applyAlignment="1">
      <alignment horizontal="left" wrapText="1"/>
    </xf>
    <xf numFmtId="0" fontId="0" fillId="0" borderId="0" xfId="0" applyAlignment="1">
      <alignment wrapText="1"/>
    </xf>
    <xf numFmtId="0" fontId="0" fillId="0" borderId="0" xfId="0" applyFill="1" applyAlignment="1">
      <alignment horizontal="left"/>
    </xf>
    <xf numFmtId="10" fontId="0" fillId="0" borderId="0" xfId="0" applyNumberFormat="1"/>
    <xf numFmtId="164" fontId="0" fillId="0" borderId="0" xfId="1" applyNumberFormat="1" applyFont="1"/>
    <xf numFmtId="164" fontId="0" fillId="0" borderId="0" xfId="0" applyNumberFormat="1"/>
    <xf numFmtId="171" fontId="0" fillId="6" borderId="1" xfId="0" applyNumberFormat="1" applyFill="1" applyBorder="1" applyAlignment="1" applyProtection="1">
      <alignment horizontal="right"/>
      <protection locked="0"/>
    </xf>
    <xf numFmtId="168" fontId="0" fillId="0" borderId="0" xfId="0" applyNumberFormat="1"/>
    <xf numFmtId="0" fontId="0" fillId="0" borderId="1" xfId="0" applyFill="1" applyBorder="1" applyAlignment="1">
      <alignment horizontal="center"/>
    </xf>
    <xf numFmtId="3" fontId="0" fillId="2" borderId="1" xfId="0" applyNumberFormat="1" applyFill="1" applyBorder="1" applyAlignment="1">
      <alignment horizontal="center" wrapText="1"/>
    </xf>
    <xf numFmtId="166" fontId="0" fillId="0" borderId="1" xfId="0" applyNumberFormat="1" applyBorder="1"/>
    <xf numFmtId="0" fontId="1" fillId="11" borderId="0" xfId="0" applyFont="1" applyFill="1"/>
    <xf numFmtId="0" fontId="4" fillId="12" borderId="2" xfId="0" applyFont="1" applyFill="1" applyBorder="1"/>
    <xf numFmtId="0" fontId="4" fillId="11" borderId="0" xfId="0" applyFont="1" applyFill="1"/>
    <xf numFmtId="0" fontId="0" fillId="3" borderId="2" xfId="0" applyFill="1" applyBorder="1" applyAlignment="1">
      <alignment horizontal="center"/>
    </xf>
    <xf numFmtId="0" fontId="0" fillId="0" borderId="2" xfId="0" applyBorder="1" applyAlignment="1">
      <alignment horizontal="center"/>
    </xf>
    <xf numFmtId="0" fontId="4" fillId="11" borderId="0" xfId="0" applyFont="1" applyFill="1" applyAlignment="1">
      <alignment horizontal="center"/>
    </xf>
    <xf numFmtId="0" fontId="0" fillId="2" borderId="1" xfId="0" applyFill="1" applyBorder="1" applyAlignment="1">
      <alignment horizontal="center" wrapText="1"/>
    </xf>
    <xf numFmtId="3" fontId="0" fillId="0" borderId="24" xfId="0" applyNumberFormat="1" applyFill="1" applyBorder="1" applyAlignment="1">
      <alignment wrapText="1"/>
    </xf>
    <xf numFmtId="3" fontId="0" fillId="0" borderId="0" xfId="0" applyNumberFormat="1" applyFill="1" applyBorder="1"/>
    <xf numFmtId="172" fontId="0" fillId="0" borderId="0" xfId="0" applyNumberFormat="1" applyFill="1" applyBorder="1"/>
    <xf numFmtId="43" fontId="0" fillId="0" borderId="0" xfId="0" applyNumberFormat="1" applyBorder="1"/>
    <xf numFmtId="172" fontId="0" fillId="0" borderId="0" xfId="0" applyNumberFormat="1"/>
    <xf numFmtId="0" fontId="0" fillId="2" borderId="0" xfId="0" applyFill="1" applyAlignment="1">
      <alignment horizontal="right"/>
    </xf>
    <xf numFmtId="0" fontId="0" fillId="2" borderId="0" xfId="0" applyFill="1" applyAlignment="1">
      <alignment horizontal="center"/>
    </xf>
    <xf numFmtId="3" fontId="9" fillId="0" borderId="0" xfId="0" applyNumberFormat="1" applyFont="1" applyBorder="1" applyAlignment="1">
      <alignment horizontal="right"/>
    </xf>
    <xf numFmtId="3" fontId="9" fillId="0" borderId="0" xfId="0" applyNumberFormat="1" applyFont="1" applyBorder="1" applyAlignment="1">
      <alignment horizontal="right" vertical="center"/>
    </xf>
    <xf numFmtId="0" fontId="4" fillId="12" borderId="2" xfId="0" applyFont="1" applyFill="1" applyBorder="1" applyAlignment="1">
      <alignment horizontal="center"/>
    </xf>
    <xf numFmtId="3" fontId="0" fillId="0" borderId="0" xfId="0" applyNumberFormat="1" applyFill="1" applyAlignment="1">
      <alignment horizontal="right" indent="4"/>
    </xf>
    <xf numFmtId="3" fontId="0" fillId="0" borderId="0" xfId="0" applyNumberFormat="1" applyAlignment="1">
      <alignment horizontal="right" indent="4"/>
    </xf>
    <xf numFmtId="3" fontId="0" fillId="2" borderId="1" xfId="0" applyNumberFormat="1" applyFill="1" applyBorder="1" applyAlignment="1">
      <alignment horizontal="right" indent="4"/>
    </xf>
    <xf numFmtId="6" fontId="0" fillId="0" borderId="0" xfId="0" applyNumberFormat="1" applyAlignment="1">
      <alignment horizontal="right" indent="4"/>
    </xf>
    <xf numFmtId="6" fontId="0" fillId="2" borderId="0" xfId="0" applyNumberFormat="1" applyFill="1" applyAlignment="1">
      <alignment horizontal="right" indent="4"/>
    </xf>
    <xf numFmtId="0" fontId="24" fillId="4" borderId="0" xfId="0" applyFont="1" applyFill="1" applyBorder="1" applyAlignment="1" applyProtection="1">
      <alignment horizontal="center"/>
      <protection locked="0"/>
    </xf>
    <xf numFmtId="0" fontId="9" fillId="4" borderId="1" xfId="0" applyFont="1" applyFill="1" applyBorder="1" applyProtection="1">
      <protection locked="0"/>
    </xf>
    <xf numFmtId="0" fontId="0" fillId="0" borderId="0" xfId="0" applyAlignment="1">
      <alignment horizontal="center"/>
    </xf>
    <xf numFmtId="3" fontId="0" fillId="7" borderId="1" xfId="0" applyNumberFormat="1" applyFill="1" applyBorder="1"/>
    <xf numFmtId="0" fontId="43" fillId="8" borderId="0" xfId="0" applyFont="1" applyFill="1" applyAlignment="1">
      <alignment horizontal="center" vertical="center"/>
    </xf>
    <xf numFmtId="0" fontId="43" fillId="8" borderId="0" xfId="0" applyFont="1" applyFill="1" applyAlignment="1">
      <alignment horizontal="center"/>
    </xf>
    <xf numFmtId="0" fontId="4" fillId="11" borderId="1" xfId="0" applyFont="1" applyFill="1" applyBorder="1" applyAlignment="1">
      <alignment horizontal="center" wrapText="1"/>
    </xf>
    <xf numFmtId="0" fontId="10" fillId="0" borderId="0" xfId="0" applyFont="1" applyProtection="1"/>
    <xf numFmtId="0" fontId="0" fillId="0" borderId="0" xfId="0" applyProtection="1"/>
    <xf numFmtId="0" fontId="7" fillId="0" borderId="0" xfId="0" applyFont="1" applyAlignment="1" applyProtection="1">
      <alignment horizontal="left"/>
    </xf>
    <xf numFmtId="0" fontId="0" fillId="0" borderId="0" xfId="0" applyAlignment="1" applyProtection="1">
      <alignment wrapText="1"/>
    </xf>
    <xf numFmtId="0" fontId="0" fillId="0" borderId="0" xfId="0" applyFont="1" applyAlignment="1" applyProtection="1"/>
    <xf numFmtId="0" fontId="0" fillId="0" borderId="0" xfId="0" applyFont="1" applyProtection="1"/>
    <xf numFmtId="0" fontId="9" fillId="0" borderId="0" xfId="0" applyFont="1" applyProtection="1"/>
    <xf numFmtId="0" fontId="9" fillId="0" borderId="0" xfId="0" applyFont="1" applyFill="1" applyProtection="1"/>
    <xf numFmtId="0" fontId="0" fillId="0" borderId="0" xfId="0" applyFill="1" applyProtection="1"/>
    <xf numFmtId="0" fontId="9" fillId="0" borderId="0" xfId="0" applyFont="1" applyAlignment="1" applyProtection="1"/>
    <xf numFmtId="0" fontId="0" fillId="10" borderId="0" xfId="0" applyFill="1" applyProtection="1"/>
    <xf numFmtId="0" fontId="0" fillId="0" borderId="0" xfId="0" applyBorder="1" applyProtection="1"/>
    <xf numFmtId="0" fontId="0" fillId="0" borderId="1" xfId="0" applyFill="1" applyBorder="1" applyProtection="1"/>
    <xf numFmtId="0" fontId="0" fillId="0" borderId="1" xfId="0" applyFill="1" applyBorder="1" applyAlignment="1" applyProtection="1">
      <alignment horizontal="center"/>
    </xf>
    <xf numFmtId="0" fontId="0" fillId="0" borderId="0" xfId="0" applyAlignment="1" applyProtection="1"/>
    <xf numFmtId="0" fontId="0" fillId="0" borderId="0" xfId="0" applyFill="1" applyBorder="1" applyProtection="1"/>
    <xf numFmtId="0" fontId="0" fillId="0" borderId="0" xfId="0" applyFill="1" applyBorder="1" applyAlignment="1" applyProtection="1"/>
    <xf numFmtId="166" fontId="0" fillId="0" borderId="1" xfId="2" applyNumberFormat="1" applyFont="1" applyFill="1" applyBorder="1" applyAlignment="1" applyProtection="1">
      <alignment horizontal="center"/>
    </xf>
    <xf numFmtId="0" fontId="0" fillId="0" borderId="0" xfId="0" applyFill="1" applyAlignment="1" applyProtection="1"/>
    <xf numFmtId="166" fontId="0" fillId="0" borderId="0" xfId="2" applyNumberFormat="1" applyFont="1" applyFill="1" applyBorder="1" applyAlignment="1" applyProtection="1">
      <alignment horizontal="center"/>
    </xf>
    <xf numFmtId="8" fontId="0" fillId="0" borderId="1" xfId="0" applyNumberFormat="1" applyFill="1" applyBorder="1" applyAlignment="1" applyProtection="1">
      <alignment vertical="center"/>
    </xf>
    <xf numFmtId="8" fontId="0" fillId="0" borderId="0" xfId="0" applyNumberFormat="1" applyFill="1" applyBorder="1" applyAlignment="1" applyProtection="1">
      <alignment vertical="center"/>
    </xf>
    <xf numFmtId="0" fontId="1" fillId="0" borderId="0" xfId="0" applyFont="1" applyAlignment="1" applyProtection="1">
      <alignment horizontal="right"/>
    </xf>
    <xf numFmtId="0" fontId="0" fillId="0" borderId="0" xfId="0" applyAlignment="1" applyProtection="1">
      <alignment horizontal="right"/>
    </xf>
    <xf numFmtId="0" fontId="0" fillId="0" borderId="0" xfId="0" applyAlignment="1" applyProtection="1">
      <alignment horizontal="center"/>
    </xf>
    <xf numFmtId="165" fontId="0" fillId="0" borderId="1" xfId="0" applyNumberFormat="1" applyBorder="1" applyProtection="1"/>
    <xf numFmtId="165" fontId="0" fillId="0" borderId="5" xfId="0" applyNumberFormat="1" applyBorder="1" applyProtection="1"/>
    <xf numFmtId="8" fontId="0" fillId="0" borderId="1" xfId="0" applyNumberFormat="1" applyBorder="1" applyProtection="1"/>
    <xf numFmtId="8" fontId="0" fillId="0" borderId="5" xfId="0" applyNumberFormat="1" applyBorder="1" applyProtection="1"/>
    <xf numFmtId="8" fontId="0" fillId="0" borderId="0" xfId="0" applyNumberFormat="1" applyBorder="1" applyProtection="1"/>
    <xf numFmtId="8" fontId="1" fillId="0" borderId="0" xfId="0" applyNumberFormat="1" applyFont="1" applyBorder="1" applyAlignment="1" applyProtection="1">
      <alignment horizontal="right"/>
    </xf>
    <xf numFmtId="0" fontId="0" fillId="0" borderId="0" xfId="0" applyFont="1" applyAlignment="1" applyProtection="1">
      <alignment horizontal="right"/>
    </xf>
    <xf numFmtId="0" fontId="8" fillId="0" borderId="0" xfId="0" applyFont="1" applyProtection="1"/>
    <xf numFmtId="170" fontId="0" fillId="0" borderId="1" xfId="0" applyNumberFormat="1" applyBorder="1" applyAlignment="1" applyProtection="1"/>
    <xf numFmtId="170" fontId="0" fillId="0" borderId="5" xfId="0" applyNumberFormat="1" applyBorder="1" applyAlignment="1" applyProtection="1"/>
    <xf numFmtId="169" fontId="0" fillId="0" borderId="1" xfId="0" applyNumberFormat="1" applyBorder="1" applyAlignment="1" applyProtection="1"/>
    <xf numFmtId="169" fontId="0" fillId="0" borderId="5" xfId="0" applyNumberFormat="1" applyBorder="1" applyAlignment="1" applyProtection="1"/>
    <xf numFmtId="0" fontId="12" fillId="0" borderId="0" xfId="0" applyFont="1" applyProtection="1"/>
    <xf numFmtId="0" fontId="1" fillId="0" borderId="0" xfId="0" applyFont="1" applyProtection="1"/>
    <xf numFmtId="0" fontId="11" fillId="0" borderId="0" xfId="0" applyFont="1" applyAlignment="1" applyProtection="1"/>
    <xf numFmtId="0" fontId="24" fillId="0" borderId="0" xfId="0" applyFont="1" applyProtection="1"/>
    <xf numFmtId="0" fontId="2" fillId="0" borderId="0" xfId="0" applyFont="1" applyProtection="1"/>
    <xf numFmtId="0" fontId="5" fillId="0" borderId="0" xfId="0" applyFont="1" applyAlignment="1" applyProtection="1"/>
    <xf numFmtId="0" fontId="9" fillId="0" borderId="0" xfId="0" quotePrefix="1" applyFont="1" applyProtection="1"/>
    <xf numFmtId="0" fontId="2" fillId="0" borderId="0" xfId="0" applyFont="1" applyAlignment="1" applyProtection="1"/>
    <xf numFmtId="0" fontId="1" fillId="0" borderId="0" xfId="0" applyFont="1" applyAlignment="1" applyProtection="1">
      <alignment horizontal="center"/>
    </xf>
    <xf numFmtId="0" fontId="11" fillId="0" borderId="0" xfId="0" applyFont="1" applyProtection="1"/>
    <xf numFmtId="0" fontId="15" fillId="0" borderId="0" xfId="0" applyFont="1" applyProtection="1"/>
    <xf numFmtId="0" fontId="0" fillId="0" borderId="0" xfId="0" applyAlignment="1" applyProtection="1">
      <alignment horizontal="left" wrapText="1" indent="1"/>
    </xf>
    <xf numFmtId="0" fontId="1" fillId="0" borderId="0" xfId="0" applyFont="1" applyFill="1" applyAlignment="1" applyProtection="1">
      <alignment horizontal="center" wrapText="1"/>
    </xf>
    <xf numFmtId="0" fontId="38" fillId="0" borderId="0" xfId="0" applyFont="1" applyProtection="1"/>
    <xf numFmtId="0" fontId="44" fillId="0" borderId="0" xfId="0" applyFont="1" applyAlignment="1" applyProtection="1">
      <alignment wrapText="1"/>
    </xf>
    <xf numFmtId="0" fontId="0" fillId="0" borderId="0" xfId="0" applyAlignment="1" applyProtection="1">
      <alignment horizontal="left"/>
    </xf>
    <xf numFmtId="0" fontId="0" fillId="0" borderId="0" xfId="0" applyAlignment="1" applyProtection="1">
      <alignment horizontal="left" vertical="center"/>
    </xf>
    <xf numFmtId="0" fontId="0" fillId="0" borderId="0" xfId="0" applyAlignment="1" applyProtection="1">
      <alignment horizontal="center" vertical="center"/>
    </xf>
    <xf numFmtId="0" fontId="38" fillId="5" borderId="0" xfId="0" applyFont="1" applyFill="1" applyProtection="1"/>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left" vertical="center" wrapText="1"/>
    </xf>
    <xf numFmtId="0" fontId="0" fillId="0" borderId="0" xfId="0" applyFill="1" applyBorder="1" applyAlignment="1" applyProtection="1">
      <alignment horizontal="center" vertical="center"/>
    </xf>
    <xf numFmtId="0" fontId="0" fillId="0" borderId="25" xfId="0" applyBorder="1" applyAlignment="1" applyProtection="1">
      <alignment wrapText="1"/>
    </xf>
    <xf numFmtId="0" fontId="0" fillId="0" borderId="25" xfId="0" applyBorder="1" applyAlignment="1" applyProtection="1">
      <alignment horizontal="center" vertical="center"/>
    </xf>
    <xf numFmtId="0" fontId="0" fillId="0" borderId="28" xfId="0" applyBorder="1" applyAlignment="1" applyProtection="1">
      <alignment horizontal="center" wrapText="1"/>
    </xf>
    <xf numFmtId="0" fontId="0" fillId="0" borderId="28" xfId="0" applyBorder="1" applyAlignment="1" applyProtection="1">
      <alignment horizontal="center" vertical="center" wrapText="1"/>
    </xf>
    <xf numFmtId="0" fontId="9" fillId="0" borderId="0" xfId="0" applyFont="1" applyAlignment="1" applyProtection="1">
      <alignment horizontal="center" vertical="center"/>
    </xf>
    <xf numFmtId="0" fontId="0" fillId="0" borderId="0" xfId="0" applyBorder="1" applyAlignment="1" applyProtection="1"/>
    <xf numFmtId="0" fontId="6" fillId="0" borderId="29" xfId="0" applyFont="1" applyBorder="1" applyAlignment="1" applyProtection="1">
      <alignment horizontal="center" vertical="center"/>
    </xf>
    <xf numFmtId="0" fontId="0" fillId="0" borderId="29" xfId="0" applyBorder="1" applyAlignment="1" applyProtection="1">
      <alignment horizontal="center"/>
    </xf>
    <xf numFmtId="0" fontId="43" fillId="0" borderId="0" xfId="0" applyFont="1" applyAlignment="1" applyProtection="1">
      <alignment horizontal="center" vertical="center"/>
    </xf>
    <xf numFmtId="0" fontId="6" fillId="0" borderId="9" xfId="0" applyFont="1" applyBorder="1" applyAlignment="1" applyProtection="1">
      <alignment horizontal="center" vertical="center"/>
    </xf>
    <xf numFmtId="0" fontId="0" fillId="0" borderId="9" xfId="0" applyBorder="1" applyAlignment="1" applyProtection="1">
      <alignment horizontal="center"/>
    </xf>
    <xf numFmtId="0" fontId="0" fillId="0" borderId="9" xfId="0" applyBorder="1" applyProtection="1"/>
    <xf numFmtId="0" fontId="44" fillId="0" borderId="0" xfId="0" applyFont="1" applyAlignment="1" applyProtection="1">
      <alignment vertical="top" wrapText="1"/>
    </xf>
    <xf numFmtId="0" fontId="6" fillId="0" borderId="9" xfId="0" applyFont="1" applyBorder="1" applyAlignment="1" applyProtection="1">
      <alignment horizontal="center"/>
    </xf>
    <xf numFmtId="0" fontId="43" fillId="0" borderId="0" xfId="0" applyFont="1" applyAlignment="1" applyProtection="1">
      <alignment horizontal="center"/>
    </xf>
    <xf numFmtId="0" fontId="44" fillId="0" borderId="0" xfId="0" applyFont="1" applyAlignment="1" applyProtection="1">
      <alignment vertical="center" wrapText="1"/>
    </xf>
    <xf numFmtId="0" fontId="6" fillId="0" borderId="0" xfId="0" applyFont="1" applyAlignment="1" applyProtection="1">
      <alignment horizontal="center"/>
    </xf>
    <xf numFmtId="0" fontId="9" fillId="0" borderId="0" xfId="0" applyFont="1" applyAlignment="1" applyProtection="1">
      <alignment horizontal="center"/>
    </xf>
    <xf numFmtId="0" fontId="38" fillId="0" borderId="0" xfId="0" applyFont="1" applyAlignment="1" applyProtection="1">
      <alignment horizontal="center"/>
    </xf>
    <xf numFmtId="0" fontId="0" fillId="0" borderId="0" xfId="0" applyFont="1" applyAlignment="1" applyProtection="1">
      <alignment vertical="top" wrapText="1"/>
    </xf>
    <xf numFmtId="0" fontId="44" fillId="0" borderId="0" xfId="0" applyFont="1" applyAlignment="1" applyProtection="1">
      <alignment horizontal="left" wrapText="1"/>
    </xf>
    <xf numFmtId="0" fontId="0" fillId="0" borderId="0" xfId="0" applyFont="1" applyAlignment="1" applyProtection="1">
      <alignment horizontal="center"/>
    </xf>
    <xf numFmtId="0" fontId="0" fillId="2" borderId="0" xfId="0" applyFill="1" applyProtection="1"/>
    <xf numFmtId="0" fontId="0" fillId="0" borderId="0" xfId="0" applyFont="1" applyAlignment="1" applyProtection="1">
      <alignment wrapText="1"/>
    </xf>
    <xf numFmtId="0" fontId="0" fillId="0" borderId="0" xfId="0" applyFont="1" applyFill="1" applyProtection="1"/>
    <xf numFmtId="0" fontId="0" fillId="10" borderId="0" xfId="0" applyFill="1" applyAlignment="1" applyProtection="1">
      <alignment horizontal="left"/>
    </xf>
    <xf numFmtId="0" fontId="12" fillId="0" borderId="0" xfId="0" applyFont="1" applyBorder="1" applyProtection="1"/>
    <xf numFmtId="0" fontId="0" fillId="0" borderId="0" xfId="0" applyFont="1" applyFill="1" applyBorder="1" applyProtection="1"/>
    <xf numFmtId="0" fontId="14" fillId="0" borderId="0" xfId="0" applyFont="1" applyBorder="1" applyProtection="1"/>
    <xf numFmtId="0" fontId="0" fillId="0" borderId="0" xfId="0" applyFont="1" applyFill="1" applyBorder="1" applyAlignment="1" applyProtection="1">
      <alignment wrapText="1"/>
    </xf>
    <xf numFmtId="0" fontId="4" fillId="11" borderId="1" xfId="0" applyFont="1" applyFill="1" applyBorder="1" applyAlignment="1" applyProtection="1">
      <alignment horizontal="center" wrapText="1"/>
    </xf>
    <xf numFmtId="0" fontId="1" fillId="0" borderId="0" xfId="0" applyFont="1" applyBorder="1" applyProtection="1"/>
    <xf numFmtId="171" fontId="0" fillId="0" borderId="1" xfId="0" applyNumberFormat="1" applyBorder="1" applyAlignment="1" applyProtection="1">
      <alignment horizontal="right" indent="1"/>
    </xf>
    <xf numFmtId="0" fontId="15" fillId="0" borderId="0" xfId="0" applyFont="1" applyBorder="1" applyProtection="1"/>
    <xf numFmtId="0" fontId="7" fillId="0" borderId="0" xfId="0" applyFont="1" applyBorder="1" applyProtection="1"/>
    <xf numFmtId="0" fontId="15" fillId="0" borderId="0" xfId="0" applyFont="1" applyFill="1" applyBorder="1" applyProtection="1"/>
    <xf numFmtId="0" fontId="5" fillId="0" borderId="0" xfId="0" applyFont="1" applyBorder="1" applyAlignment="1" applyProtection="1">
      <alignment wrapText="1"/>
    </xf>
    <xf numFmtId="0" fontId="24" fillId="0" borderId="0" xfId="0" applyFont="1" applyBorder="1" applyAlignment="1" applyProtection="1">
      <alignment vertical="center"/>
    </xf>
    <xf numFmtId="0" fontId="0" fillId="0" borderId="0" xfId="0" applyFont="1" applyBorder="1" applyProtection="1"/>
    <xf numFmtId="171" fontId="0" fillId="0" borderId="0" xfId="0" applyNumberFormat="1" applyBorder="1" applyAlignment="1" applyProtection="1">
      <alignment horizontal="right" indent="1"/>
    </xf>
    <xf numFmtId="6" fontId="0" fillId="0" borderId="0" xfId="0" applyNumberFormat="1" applyFill="1" applyBorder="1" applyProtection="1"/>
    <xf numFmtId="0" fontId="1" fillId="0" borderId="0" xfId="0" applyFont="1" applyFill="1" applyBorder="1" applyProtection="1"/>
    <xf numFmtId="6" fontId="0" fillId="0" borderId="0" xfId="0" applyNumberFormat="1" applyFill="1" applyBorder="1" applyAlignment="1" applyProtection="1">
      <alignment horizontal="center"/>
    </xf>
    <xf numFmtId="0" fontId="9" fillId="0" borderId="0" xfId="0" applyFont="1" applyBorder="1" applyProtection="1"/>
    <xf numFmtId="0" fontId="0" fillId="0" borderId="24" xfId="0" applyBorder="1" applyProtection="1"/>
    <xf numFmtId="0" fontId="1" fillId="0" borderId="0" xfId="0" applyFont="1" applyBorder="1" applyAlignment="1" applyProtection="1">
      <alignment horizontal="center"/>
    </xf>
    <xf numFmtId="0" fontId="3" fillId="0" borderId="0" xfId="0" applyFont="1" applyBorder="1" applyProtection="1"/>
    <xf numFmtId="0" fontId="19" fillId="0" borderId="0" xfId="0" applyFont="1" applyBorder="1" applyAlignment="1" applyProtection="1">
      <alignment horizontal="center" wrapText="1"/>
    </xf>
    <xf numFmtId="167" fontId="0" fillId="5" borderId="1" xfId="0" applyNumberFormat="1" applyFill="1" applyBorder="1" applyAlignment="1" applyProtection="1">
      <alignment horizontal="center"/>
    </xf>
    <xf numFmtId="0" fontId="18" fillId="0" borderId="0" xfId="0" applyFont="1" applyBorder="1" applyAlignment="1" applyProtection="1">
      <alignment horizontal="right"/>
    </xf>
    <xf numFmtId="167" fontId="0" fillId="5" borderId="7" xfId="0" applyNumberFormat="1" applyFill="1" applyBorder="1" applyAlignment="1" applyProtection="1">
      <alignment horizontal="center"/>
    </xf>
    <xf numFmtId="0" fontId="3" fillId="5" borderId="0" xfId="0" applyFont="1" applyFill="1" applyBorder="1" applyProtection="1"/>
    <xf numFmtId="0" fontId="13" fillId="0" borderId="0" xfId="0" applyFont="1" applyBorder="1" applyAlignment="1" applyProtection="1"/>
    <xf numFmtId="0" fontId="0" fillId="10" borderId="0" xfId="0" applyFill="1" applyBorder="1" applyAlignment="1" applyProtection="1"/>
    <xf numFmtId="0" fontId="0" fillId="10" borderId="24" xfId="0" applyFill="1" applyBorder="1" applyAlignment="1" applyProtection="1"/>
    <xf numFmtId="0" fontId="0" fillId="0" borderId="0" xfId="0" applyAlignment="1" applyProtection="1">
      <alignment horizontal="left" wrapText="1"/>
    </xf>
    <xf numFmtId="0" fontId="0" fillId="0" borderId="0" xfId="0" applyBorder="1" applyAlignment="1" applyProtection="1">
      <alignment vertical="top" wrapText="1"/>
    </xf>
    <xf numFmtId="0" fontId="1" fillId="0" borderId="0" xfId="0" applyFont="1" applyFill="1" applyProtection="1"/>
    <xf numFmtId="0" fontId="0" fillId="0" borderId="1" xfId="0" applyBorder="1" applyProtection="1"/>
    <xf numFmtId="0" fontId="22" fillId="0" borderId="0" xfId="0" applyFont="1" applyProtection="1"/>
    <xf numFmtId="0" fontId="19" fillId="0" borderId="0" xfId="0" applyFont="1" applyAlignment="1" applyProtection="1">
      <alignment vertical="center"/>
    </xf>
    <xf numFmtId="0" fontId="19" fillId="0" borderId="0" xfId="0" applyFont="1" applyBorder="1" applyAlignment="1" applyProtection="1">
      <alignment wrapText="1"/>
    </xf>
    <xf numFmtId="0" fontId="0" fillId="0" borderId="0" xfId="0" applyAlignment="1" applyProtection="1">
      <alignment vertical="center"/>
    </xf>
    <xf numFmtId="0" fontId="3" fillId="0" borderId="0" xfId="0" applyFont="1" applyProtection="1"/>
    <xf numFmtId="6" fontId="0" fillId="0" borderId="1" xfId="0" applyNumberFormat="1" applyBorder="1" applyProtection="1"/>
    <xf numFmtId="166" fontId="0" fillId="0" borderId="1" xfId="2" applyNumberFormat="1" applyFont="1" applyBorder="1" applyProtection="1"/>
    <xf numFmtId="0" fontId="19" fillId="0" borderId="0" xfId="0" applyFont="1" applyBorder="1" applyAlignment="1" applyProtection="1">
      <alignment vertical="center"/>
    </xf>
    <xf numFmtId="0" fontId="0" fillId="0" borderId="5" xfId="0" applyBorder="1" applyAlignment="1" applyProtection="1">
      <alignment wrapText="1"/>
    </xf>
    <xf numFmtId="0" fontId="19" fillId="0" borderId="0" xfId="0" applyFont="1" applyBorder="1" applyProtection="1"/>
    <xf numFmtId="0" fontId="0" fillId="0" borderId="8" xfId="0" applyBorder="1" applyProtection="1"/>
    <xf numFmtId="0" fontId="0" fillId="0" borderId="10" xfId="0" applyBorder="1" applyProtection="1"/>
    <xf numFmtId="0" fontId="36" fillId="0" borderId="0" xfId="0" applyFont="1" applyProtection="1"/>
    <xf numFmtId="0" fontId="9" fillId="0" borderId="0" xfId="0" applyFont="1" applyAlignment="1" applyProtection="1">
      <alignment wrapText="1"/>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center"/>
    </xf>
    <xf numFmtId="0" fontId="1" fillId="0" borderId="1" xfId="0" applyFont="1" applyBorder="1" applyAlignment="1" applyProtection="1">
      <alignment horizontal="center" wrapText="1"/>
    </xf>
    <xf numFmtId="3" fontId="9" fillId="0" borderId="1" xfId="0" applyNumberFormat="1" applyFont="1" applyBorder="1" applyAlignment="1" applyProtection="1">
      <alignment horizontal="center"/>
    </xf>
    <xf numFmtId="3" fontId="9" fillId="0" borderId="1" xfId="0" applyNumberFormat="1" applyFont="1" applyBorder="1" applyAlignment="1" applyProtection="1">
      <alignment horizontal="left" indent="3"/>
    </xf>
    <xf numFmtId="3" fontId="0" fillId="0" borderId="0" xfId="0" applyNumberFormat="1" applyBorder="1" applyProtection="1"/>
    <xf numFmtId="0" fontId="2" fillId="0" borderId="0" xfId="0" applyFont="1" applyBorder="1" applyAlignment="1" applyProtection="1">
      <alignment horizontal="right"/>
    </xf>
    <xf numFmtId="0" fontId="0" fillId="0" borderId="0" xfId="0" applyBorder="1" applyAlignment="1" applyProtection="1">
      <alignment horizontal="left" wrapText="1"/>
    </xf>
    <xf numFmtId="0" fontId="1" fillId="0" borderId="0" xfId="0" applyFont="1" applyBorder="1" applyAlignment="1" applyProtection="1">
      <alignment horizontal="right"/>
    </xf>
    <xf numFmtId="164" fontId="0" fillId="0" borderId="0" xfId="1" applyNumberFormat="1" applyFont="1" applyBorder="1" applyAlignment="1" applyProtection="1">
      <alignment horizontal="center"/>
    </xf>
    <xf numFmtId="167" fontId="0" fillId="0" borderId="1" xfId="0" applyNumberFormat="1" applyBorder="1" applyAlignment="1" applyProtection="1">
      <alignment horizontal="right" indent="3"/>
    </xf>
    <xf numFmtId="0" fontId="34" fillId="10" borderId="0" xfId="0" applyFont="1" applyFill="1" applyBorder="1" applyAlignment="1" applyProtection="1">
      <alignment horizontal="center"/>
    </xf>
    <xf numFmtId="0" fontId="12" fillId="0" borderId="0" xfId="0" applyFont="1" applyFill="1" applyBorder="1" applyProtection="1"/>
    <xf numFmtId="167" fontId="0" fillId="0" borderId="0" xfId="0" applyNumberFormat="1" applyBorder="1" applyAlignment="1" applyProtection="1">
      <alignment horizontal="center"/>
    </xf>
    <xf numFmtId="0" fontId="0" fillId="0" borderId="0" xfId="0" applyBorder="1" applyAlignment="1" applyProtection="1">
      <alignment horizontal="center"/>
    </xf>
    <xf numFmtId="0" fontId="9" fillId="0" borderId="0" xfId="0" applyFont="1" applyFill="1" applyBorder="1" applyProtection="1"/>
    <xf numFmtId="0" fontId="1" fillId="0" borderId="0" xfId="0" applyFont="1" applyAlignment="1" applyProtection="1">
      <alignment horizontal="center" vertical="center" wrapText="1"/>
    </xf>
    <xf numFmtId="0" fontId="23" fillId="0" borderId="0" xfId="0" applyFont="1" applyFill="1" applyBorder="1" applyAlignment="1" applyProtection="1">
      <alignment horizontal="center"/>
    </xf>
    <xf numFmtId="164" fontId="0" fillId="0" borderId="0" xfId="1" applyNumberFormat="1" applyFont="1" applyFill="1" applyBorder="1" applyProtection="1"/>
    <xf numFmtId="0" fontId="7" fillId="0" borderId="0" xfId="0" applyFont="1" applyAlignment="1" applyProtection="1">
      <alignment horizontal="center"/>
    </xf>
    <xf numFmtId="164" fontId="0" fillId="0" borderId="0" xfId="1" applyNumberFormat="1" applyFont="1" applyBorder="1" applyProtection="1"/>
    <xf numFmtId="37" fontId="0" fillId="0" borderId="0" xfId="1" applyNumberFormat="1" applyFont="1" applyBorder="1" applyProtection="1"/>
    <xf numFmtId="172" fontId="0" fillId="0" borderId="1" xfId="0" applyNumberFormat="1" applyBorder="1" applyAlignment="1" applyProtection="1">
      <alignment horizontal="right" indent="3"/>
    </xf>
    <xf numFmtId="0" fontId="1" fillId="0" borderId="1" xfId="0" applyFont="1" applyFill="1" applyBorder="1" applyAlignment="1" applyProtection="1">
      <alignment horizontal="center" wrapText="1"/>
    </xf>
    <xf numFmtId="168" fontId="0" fillId="0" borderId="1" xfId="0" applyNumberFormat="1" applyBorder="1" applyAlignment="1" applyProtection="1">
      <alignment horizontal="center"/>
    </xf>
    <xf numFmtId="0" fontId="5" fillId="0" borderId="0" xfId="0" applyFont="1" applyBorder="1" applyAlignment="1" applyProtection="1">
      <alignment horizontal="left"/>
    </xf>
    <xf numFmtId="0" fontId="41" fillId="0" borderId="0" xfId="0" applyFont="1" applyBorder="1" applyAlignment="1" applyProtection="1">
      <alignment horizontal="center" wrapText="1"/>
    </xf>
    <xf numFmtId="0" fontId="33" fillId="0" borderId="0" xfId="0" applyFont="1" applyFill="1" applyAlignment="1" applyProtection="1">
      <alignment horizontal="center"/>
    </xf>
    <xf numFmtId="0" fontId="12" fillId="0" borderId="0" xfId="0" applyFont="1" applyFill="1" applyAlignment="1" applyProtection="1">
      <alignment horizontal="left" vertical="top"/>
    </xf>
    <xf numFmtId="0" fontId="0" fillId="0" borderId="0" xfId="0" applyFont="1" applyFill="1" applyAlignment="1" applyProtection="1">
      <alignment horizontal="left" vertical="top"/>
    </xf>
    <xf numFmtId="0" fontId="37" fillId="0" borderId="0" xfId="0" applyFont="1" applyBorder="1" applyProtection="1"/>
    <xf numFmtId="167" fontId="0" fillId="0" borderId="0" xfId="0" applyNumberFormat="1" applyBorder="1" applyAlignment="1" applyProtection="1">
      <alignment horizontal="left"/>
    </xf>
    <xf numFmtId="0" fontId="9" fillId="0" borderId="0" xfId="0" applyFont="1" applyBorder="1" applyAlignment="1" applyProtection="1">
      <alignment horizontal="left" vertical="top"/>
    </xf>
    <xf numFmtId="167"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167" fontId="0" fillId="0" borderId="0" xfId="0" applyNumberFormat="1" applyBorder="1" applyAlignment="1" applyProtection="1">
      <alignment horizontal="left" wrapText="1"/>
    </xf>
    <xf numFmtId="0" fontId="0" fillId="8" borderId="33" xfId="0" applyFill="1" applyBorder="1"/>
    <xf numFmtId="0" fontId="0" fillId="8" borderId="31" xfId="0" applyFill="1" applyBorder="1"/>
    <xf numFmtId="0" fontId="0" fillId="8" borderId="34" xfId="0" applyFill="1" applyBorder="1"/>
    <xf numFmtId="0" fontId="0" fillId="8" borderId="36" xfId="0" applyFill="1" applyBorder="1"/>
    <xf numFmtId="0" fontId="0" fillId="8" borderId="35" xfId="0" applyFill="1" applyBorder="1"/>
    <xf numFmtId="0" fontId="0" fillId="8" borderId="37" xfId="0" applyFill="1" applyBorder="1"/>
    <xf numFmtId="0" fontId="21" fillId="0" borderId="39" xfId="3" applyBorder="1"/>
    <xf numFmtId="0" fontId="0" fillId="0" borderId="40" xfId="0" applyBorder="1"/>
    <xf numFmtId="0" fontId="21" fillId="0" borderId="0" xfId="3" applyBorder="1"/>
    <xf numFmtId="0" fontId="0" fillId="0" borderId="39" xfId="0" applyBorder="1"/>
    <xf numFmtId="0" fontId="21" fillId="0" borderId="0" xfId="3"/>
    <xf numFmtId="0" fontId="21" fillId="0" borderId="19" xfId="3" applyBorder="1"/>
    <xf numFmtId="0" fontId="21" fillId="0" borderId="36" xfId="3" applyBorder="1"/>
    <xf numFmtId="0" fontId="0" fillId="0" borderId="35" xfId="0" applyBorder="1"/>
    <xf numFmtId="0" fontId="21" fillId="0" borderId="35" xfId="3" applyBorder="1"/>
    <xf numFmtId="0" fontId="0" fillId="0" borderId="37" xfId="0" applyBorder="1"/>
    <xf numFmtId="0" fontId="0" fillId="14" borderId="0" xfId="0" applyFill="1"/>
    <xf numFmtId="0" fontId="9" fillId="0" borderId="0" xfId="0" applyFont="1" applyBorder="1" applyAlignment="1" applyProtection="1">
      <alignment horizontal="left" vertical="top" wrapText="1"/>
    </xf>
    <xf numFmtId="0" fontId="0" fillId="0" borderId="0" xfId="0" applyBorder="1" applyAlignment="1">
      <alignment wrapText="1"/>
    </xf>
    <xf numFmtId="167" fontId="0" fillId="0" borderId="0" xfId="0" applyNumberFormat="1" applyBorder="1" applyAlignment="1" applyProtection="1">
      <alignment horizontal="center"/>
      <protection locked="0"/>
    </xf>
    <xf numFmtId="167" fontId="1" fillId="0" borderId="0" xfId="0" applyNumberFormat="1" applyFont="1" applyBorder="1" applyAlignment="1" applyProtection="1">
      <alignment horizontal="center"/>
    </xf>
    <xf numFmtId="0" fontId="0" fillId="0" borderId="9" xfId="0" applyBorder="1" applyAlignment="1">
      <alignment vertical="top" wrapText="1"/>
    </xf>
    <xf numFmtId="0" fontId="0" fillId="8" borderId="31" xfId="0" applyFill="1" applyBorder="1" applyAlignment="1">
      <alignment vertical="top"/>
    </xf>
    <xf numFmtId="0" fontId="0" fillId="8" borderId="31" xfId="0" applyFill="1" applyBorder="1" applyAlignment="1">
      <alignment vertical="top" wrapText="1"/>
    </xf>
    <xf numFmtId="0" fontId="0" fillId="8" borderId="35" xfId="0" applyFill="1" applyBorder="1" applyAlignment="1">
      <alignment vertical="top"/>
    </xf>
    <xf numFmtId="0" fontId="0" fillId="8" borderId="35" xfId="0" applyFill="1" applyBorder="1" applyAlignment="1">
      <alignment vertical="top" wrapText="1"/>
    </xf>
    <xf numFmtId="0" fontId="9" fillId="0" borderId="8" xfId="0" applyFont="1" applyFill="1" applyBorder="1" applyAlignment="1">
      <alignment vertical="top" wrapText="1"/>
    </xf>
    <xf numFmtId="0" fontId="0" fillId="0" borderId="8" xfId="0" applyBorder="1" applyAlignment="1">
      <alignment vertical="top" wrapText="1"/>
    </xf>
    <xf numFmtId="0" fontId="9" fillId="0" borderId="9" xfId="0" applyFont="1" applyFill="1" applyBorder="1" applyAlignment="1">
      <alignment vertical="top" wrapText="1"/>
    </xf>
    <xf numFmtId="0" fontId="9" fillId="0" borderId="9" xfId="0" applyFont="1" applyFill="1" applyBorder="1" applyAlignment="1">
      <alignment vertical="top"/>
    </xf>
    <xf numFmtId="0" fontId="0" fillId="0" borderId="0" xfId="0" applyAlignment="1">
      <alignment vertical="top"/>
    </xf>
    <xf numFmtId="16" fontId="0" fillId="0" borderId="9" xfId="0" quotePrefix="1" applyNumberFormat="1" applyBorder="1" applyAlignment="1">
      <alignment vertical="top" wrapText="1"/>
    </xf>
    <xf numFmtId="0" fontId="49" fillId="0" borderId="9" xfId="0" applyFont="1" applyFill="1" applyBorder="1" applyAlignment="1">
      <alignment vertical="top"/>
    </xf>
    <xf numFmtId="0" fontId="9" fillId="0" borderId="42" xfId="0" applyFont="1" applyFill="1" applyBorder="1" applyAlignment="1">
      <alignment vertical="top"/>
    </xf>
    <xf numFmtId="0" fontId="0" fillId="0" borderId="42" xfId="0" applyBorder="1" applyAlignment="1">
      <alignment vertical="top" wrapText="1"/>
    </xf>
    <xf numFmtId="0" fontId="0" fillId="0" borderId="0" xfId="0" applyAlignment="1">
      <alignment vertical="top" wrapText="1"/>
    </xf>
    <xf numFmtId="0" fontId="9" fillId="0" borderId="0" xfId="0" applyFont="1" applyFill="1" applyBorder="1" applyAlignment="1">
      <alignment vertical="top"/>
    </xf>
    <xf numFmtId="0" fontId="21" fillId="0" borderId="0" xfId="3" applyAlignment="1">
      <alignment vertical="top" wrapText="1"/>
    </xf>
    <xf numFmtId="0" fontId="21" fillId="0" borderId="5" xfId="3" applyBorder="1" applyAlignment="1">
      <alignment vertical="top"/>
    </xf>
    <xf numFmtId="0" fontId="0" fillId="8" borderId="30" xfId="0" applyFill="1" applyBorder="1" applyAlignment="1">
      <alignment vertical="top" wrapText="1"/>
    </xf>
    <xf numFmtId="0" fontId="0" fillId="8" borderId="23" xfId="0" applyFill="1" applyBorder="1" applyAlignment="1">
      <alignment vertical="top" wrapText="1"/>
    </xf>
    <xf numFmtId="0" fontId="0" fillId="0" borderId="38" xfId="0" applyBorder="1" applyAlignment="1">
      <alignment vertical="top" wrapText="1"/>
    </xf>
    <xf numFmtId="0" fontId="0" fillId="0" borderId="26" xfId="0" applyBorder="1" applyAlignment="1">
      <alignment vertical="top" wrapText="1"/>
    </xf>
    <xf numFmtId="6" fontId="0" fillId="0" borderId="9" xfId="0" applyNumberFormat="1" applyBorder="1" applyAlignment="1">
      <alignment vertical="top" wrapText="1"/>
    </xf>
    <xf numFmtId="0" fontId="9" fillId="0" borderId="9" xfId="0" quotePrefix="1" applyNumberFormat="1" applyFont="1" applyBorder="1" applyAlignment="1">
      <alignment vertical="top" wrapText="1"/>
    </xf>
    <xf numFmtId="0" fontId="0" fillId="0" borderId="9" xfId="0" quotePrefix="1" applyBorder="1" applyAlignment="1">
      <alignment vertical="top" wrapText="1"/>
    </xf>
    <xf numFmtId="0" fontId="0" fillId="0" borderId="27" xfId="0" applyBorder="1" applyAlignment="1">
      <alignment vertical="top" wrapText="1"/>
    </xf>
    <xf numFmtId="0" fontId="9" fillId="0" borderId="38" xfId="0" applyFont="1" applyFill="1" applyBorder="1" applyAlignment="1">
      <alignment vertical="top" wrapText="1"/>
    </xf>
    <xf numFmtId="0" fontId="9" fillId="0" borderId="26" xfId="0" applyFont="1" applyFill="1" applyBorder="1" applyAlignment="1">
      <alignment vertical="top" wrapText="1"/>
    </xf>
    <xf numFmtId="0" fontId="0" fillId="0" borderId="41" xfId="0" applyBorder="1" applyAlignment="1">
      <alignment vertical="top" wrapText="1"/>
    </xf>
    <xf numFmtId="0" fontId="39" fillId="0" borderId="26" xfId="0" applyFont="1" applyBorder="1" applyAlignment="1">
      <alignment vertical="top" wrapText="1"/>
    </xf>
    <xf numFmtId="0" fontId="39" fillId="0" borderId="9" xfId="0" applyFont="1" applyBorder="1" applyAlignment="1">
      <alignment vertical="top" wrapText="1"/>
    </xf>
    <xf numFmtId="0" fontId="48" fillId="0" borderId="26" xfId="0" applyFont="1" applyBorder="1" applyAlignment="1">
      <alignment vertical="top" wrapText="1"/>
    </xf>
    <xf numFmtId="0" fontId="49" fillId="0" borderId="26" xfId="0" applyFont="1" applyFill="1" applyBorder="1" applyAlignment="1">
      <alignment vertical="top" wrapText="1"/>
    </xf>
    <xf numFmtId="0" fontId="9" fillId="0" borderId="27" xfId="0" applyFont="1" applyFill="1" applyBorder="1" applyAlignment="1">
      <alignment vertical="top" wrapText="1"/>
    </xf>
    <xf numFmtId="0" fontId="9" fillId="0" borderId="0" xfId="0" applyFont="1" applyFill="1" applyBorder="1" applyAlignment="1">
      <alignment vertical="top" wrapText="1"/>
    </xf>
    <xf numFmtId="0" fontId="0" fillId="8" borderId="30" xfId="0" applyFill="1" applyBorder="1" applyAlignment="1">
      <alignment horizontal="center" vertical="top" wrapText="1"/>
    </xf>
    <xf numFmtId="0" fontId="0" fillId="8" borderId="31" xfId="0" applyFill="1" applyBorder="1" applyAlignment="1">
      <alignment horizontal="center" vertical="top"/>
    </xf>
    <xf numFmtId="16" fontId="0" fillId="8" borderId="23" xfId="0" applyNumberFormat="1" applyFill="1" applyBorder="1" applyAlignment="1">
      <alignment horizontal="center" vertical="top" wrapText="1"/>
    </xf>
    <xf numFmtId="16" fontId="0" fillId="8" borderId="35" xfId="0" applyNumberFormat="1" applyFill="1" applyBorder="1" applyAlignment="1">
      <alignment horizontal="center" vertical="top" wrapText="1"/>
    </xf>
    <xf numFmtId="0" fontId="0" fillId="0" borderId="38" xfId="0" applyBorder="1" applyAlignment="1">
      <alignment horizontal="center" vertical="top" wrapText="1"/>
    </xf>
    <xf numFmtId="0" fontId="0" fillId="0" borderId="8" xfId="0" applyBorder="1" applyAlignment="1">
      <alignment horizontal="center" vertical="top"/>
    </xf>
    <xf numFmtId="0" fontId="0" fillId="0" borderId="26" xfId="0" applyBorder="1" applyAlignment="1">
      <alignment horizontal="center" vertical="top" wrapText="1"/>
    </xf>
    <xf numFmtId="0" fontId="0" fillId="0" borderId="9" xfId="0" applyBorder="1" applyAlignment="1">
      <alignment horizontal="center" vertical="top"/>
    </xf>
    <xf numFmtId="0" fontId="0" fillId="0" borderId="26" xfId="0" applyBorder="1" applyAlignment="1">
      <alignment horizontal="center" vertical="top"/>
    </xf>
    <xf numFmtId="0" fontId="0" fillId="0" borderId="9" xfId="0" applyBorder="1" applyAlignment="1">
      <alignment horizontal="center" vertical="top" wrapText="1"/>
    </xf>
    <xf numFmtId="0" fontId="0" fillId="0" borderId="27" xfId="0" applyBorder="1" applyAlignment="1">
      <alignment horizontal="center" vertical="top" wrapText="1"/>
    </xf>
    <xf numFmtId="0" fontId="0" fillId="0" borderId="42" xfId="0" applyBorder="1" applyAlignment="1">
      <alignment horizontal="center" vertical="top"/>
    </xf>
    <xf numFmtId="0" fontId="0" fillId="0" borderId="0" xfId="0" applyAlignment="1">
      <alignment horizontal="center" vertical="top" wrapText="1"/>
    </xf>
    <xf numFmtId="0" fontId="0" fillId="0" borderId="0" xfId="0" applyAlignment="1">
      <alignment horizontal="center" vertical="top"/>
    </xf>
    <xf numFmtId="0" fontId="21" fillId="0" borderId="0" xfId="3" applyAlignment="1">
      <alignment horizontal="center" vertical="top"/>
    </xf>
    <xf numFmtId="9" fontId="0" fillId="8" borderId="35" xfId="2" applyFont="1" applyFill="1" applyBorder="1" applyAlignment="1">
      <alignment horizontal="center" vertical="top"/>
    </xf>
    <xf numFmtId="0" fontId="47" fillId="8" borderId="23" xfId="0" applyFont="1" applyFill="1" applyBorder="1" applyAlignment="1">
      <alignment horizontal="center" vertical="top"/>
    </xf>
    <xf numFmtId="9" fontId="0" fillId="0" borderId="8" xfId="2" applyFont="1" applyBorder="1" applyAlignment="1">
      <alignment horizontal="center" vertical="top"/>
    </xf>
    <xf numFmtId="0" fontId="0" fillId="0" borderId="38" xfId="2" applyNumberFormat="1" applyFont="1" applyBorder="1" applyAlignment="1">
      <alignment horizontal="center" vertical="top"/>
    </xf>
    <xf numFmtId="9" fontId="0" fillId="0" borderId="9" xfId="2" applyFont="1" applyBorder="1" applyAlignment="1">
      <alignment horizontal="center" vertical="top"/>
    </xf>
    <xf numFmtId="0" fontId="0" fillId="0" borderId="26" xfId="2" applyNumberFormat="1" applyFont="1" applyBorder="1" applyAlignment="1">
      <alignment horizontal="center" vertical="top"/>
    </xf>
    <xf numFmtId="9" fontId="0" fillId="0" borderId="42" xfId="2" applyFont="1" applyBorder="1" applyAlignment="1">
      <alignment horizontal="center" vertical="top"/>
    </xf>
    <xf numFmtId="0" fontId="0" fillId="0" borderId="27" xfId="2" applyNumberFormat="1" applyFont="1" applyBorder="1" applyAlignment="1">
      <alignment horizontal="center" vertical="top"/>
    </xf>
    <xf numFmtId="9" fontId="0" fillId="8" borderId="23" xfId="2" applyFont="1" applyFill="1" applyBorder="1" applyAlignment="1">
      <alignment horizontal="center" vertical="top"/>
    </xf>
    <xf numFmtId="0" fontId="47" fillId="8" borderId="35" xfId="0" applyFont="1" applyFill="1" applyBorder="1" applyAlignment="1">
      <alignment horizontal="center" vertical="top"/>
    </xf>
    <xf numFmtId="9" fontId="0" fillId="0" borderId="38" xfId="2" applyFont="1" applyBorder="1" applyAlignment="1">
      <alignment horizontal="center" vertical="top"/>
    </xf>
    <xf numFmtId="0" fontId="0" fillId="0" borderId="8" xfId="2" applyNumberFormat="1" applyFont="1" applyBorder="1" applyAlignment="1">
      <alignment horizontal="center" vertical="top"/>
    </xf>
    <xf numFmtId="9" fontId="0" fillId="0" borderId="26" xfId="2" applyFont="1" applyBorder="1" applyAlignment="1">
      <alignment horizontal="center" vertical="top"/>
    </xf>
    <xf numFmtId="0" fontId="0" fillId="0" borderId="9" xfId="2" applyNumberFormat="1" applyFont="1" applyBorder="1" applyAlignment="1">
      <alignment horizontal="center" vertical="top"/>
    </xf>
    <xf numFmtId="9" fontId="0" fillId="0" borderId="27" xfId="2" applyFont="1" applyBorder="1" applyAlignment="1">
      <alignment horizontal="center" vertical="top"/>
    </xf>
    <xf numFmtId="0" fontId="0" fillId="0" borderId="42" xfId="2" applyNumberFormat="1" applyFont="1" applyBorder="1" applyAlignment="1">
      <alignment horizontal="center" vertical="top"/>
    </xf>
    <xf numFmtId="6" fontId="0" fillId="0" borderId="9" xfId="0" applyNumberFormat="1" applyBorder="1" applyAlignment="1">
      <alignment horizontal="left" vertical="top" wrapText="1"/>
    </xf>
    <xf numFmtId="0" fontId="0" fillId="0" borderId="9" xfId="0" applyBorder="1" applyAlignment="1">
      <alignment horizontal="left" vertical="top" wrapText="1"/>
    </xf>
    <xf numFmtId="0" fontId="0" fillId="0" borderId="0" xfId="0" applyAlignment="1" applyProtection="1">
      <alignment wrapText="1"/>
    </xf>
    <xf numFmtId="0" fontId="1" fillId="0" borderId="0" xfId="0" applyFont="1" applyFill="1" applyBorder="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1" fillId="0" borderId="0" xfId="0" applyFont="1" applyBorder="1" applyAlignment="1" applyProtection="1">
      <alignment horizontal="center" wrapText="1"/>
    </xf>
    <xf numFmtId="0" fontId="1" fillId="0" borderId="19" xfId="0" applyFont="1" applyBorder="1" applyAlignment="1" applyProtection="1">
      <alignment horizontal="center" wrapText="1"/>
    </xf>
    <xf numFmtId="0" fontId="1" fillId="0" borderId="0" xfId="0" applyFont="1" applyBorder="1" applyAlignment="1" applyProtection="1">
      <alignment horizontal="left"/>
    </xf>
    <xf numFmtId="0" fontId="0" fillId="0" borderId="3" xfId="0" applyBorder="1" applyProtection="1"/>
    <xf numFmtId="0" fontId="0" fillId="0" borderId="0" xfId="0" applyFont="1" applyBorder="1" applyAlignment="1">
      <alignment wrapText="1"/>
    </xf>
    <xf numFmtId="167" fontId="0" fillId="0" borderId="0" xfId="0" applyNumberFormat="1" applyFont="1" applyBorder="1" applyAlignment="1" applyProtection="1">
      <alignment horizontal="center"/>
      <protection locked="0"/>
    </xf>
    <xf numFmtId="167" fontId="0" fillId="0" borderId="0" xfId="0" applyNumberFormat="1" applyFont="1" applyBorder="1" applyAlignment="1" applyProtection="1">
      <alignment horizontal="left" wrapText="1"/>
    </xf>
    <xf numFmtId="167" fontId="0" fillId="0" borderId="0" xfId="0" applyNumberFormat="1" applyBorder="1" applyAlignment="1" applyProtection="1">
      <alignment horizontal="center" wrapText="1"/>
    </xf>
    <xf numFmtId="37" fontId="0" fillId="0" borderId="0" xfId="0" applyNumberFormat="1" applyBorder="1" applyAlignment="1" applyProtection="1">
      <alignment horizontal="center" wrapText="1"/>
    </xf>
    <xf numFmtId="0" fontId="9" fillId="0" borderId="0" xfId="0" applyFont="1" applyAlignment="1">
      <alignment horizontal="left" wrapText="1"/>
    </xf>
    <xf numFmtId="0" fontId="0" fillId="0" borderId="0" xfId="0" applyBorder="1" applyAlignment="1" applyProtection="1">
      <alignment horizontal="center"/>
    </xf>
    <xf numFmtId="0" fontId="0" fillId="0" borderId="24" xfId="0" applyBorder="1" applyAlignment="1" applyProtection="1">
      <alignment horizontal="left" vertical="top" wrapText="1"/>
    </xf>
    <xf numFmtId="0" fontId="2" fillId="0" borderId="5" xfId="0" applyFont="1" applyBorder="1" applyAlignment="1" applyProtection="1">
      <alignment horizontal="left" wrapText="1"/>
    </xf>
    <xf numFmtId="0" fontId="23" fillId="0" borderId="8" xfId="0" applyFont="1" applyBorder="1" applyAlignment="1">
      <alignment horizontal="center" wrapText="1"/>
    </xf>
    <xf numFmtId="0" fontId="0" fillId="0" borderId="0" xfId="0" applyBorder="1" applyAlignment="1" applyProtection="1">
      <alignment horizontal="center"/>
    </xf>
    <xf numFmtId="0" fontId="1" fillId="0" borderId="8" xfId="0" applyFont="1" applyBorder="1" applyAlignment="1" applyProtection="1">
      <alignment horizontal="center" wrapText="1"/>
    </xf>
    <xf numFmtId="3" fontId="0" fillId="0" borderId="1" xfId="0" applyNumberFormat="1" applyBorder="1" applyAlignment="1" applyProtection="1">
      <alignment horizontal="center"/>
    </xf>
    <xf numFmtId="172" fontId="0" fillId="0" borderId="1" xfId="0" applyNumberFormat="1" applyBorder="1" applyAlignment="1" applyProtection="1">
      <alignment horizontal="center"/>
    </xf>
    <xf numFmtId="164" fontId="0" fillId="0" borderId="1" xfId="0" applyNumberFormat="1" applyBorder="1" applyAlignment="1" applyProtection="1">
      <alignment horizontal="center"/>
    </xf>
    <xf numFmtId="0" fontId="10" fillId="0" borderId="0" xfId="0" applyFont="1" applyFill="1" applyBorder="1" applyAlignment="1" applyProtection="1"/>
    <xf numFmtId="0" fontId="10" fillId="0" borderId="0" xfId="0" applyFont="1" applyFill="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Alignment="1" applyProtection="1"/>
    <xf numFmtId="0" fontId="2" fillId="0" borderId="0" xfId="0" applyFont="1" applyBorder="1" applyAlignment="1" applyProtection="1">
      <alignment horizontal="left" wrapText="1"/>
    </xf>
    <xf numFmtId="0" fontId="1" fillId="0" borderId="8" xfId="0" applyFont="1" applyBorder="1" applyAlignment="1" applyProtection="1">
      <alignment wrapText="1"/>
    </xf>
    <xf numFmtId="0" fontId="9" fillId="4" borderId="0" xfId="0" applyFont="1" applyFill="1" applyAlignment="1" applyProtection="1"/>
    <xf numFmtId="168" fontId="0" fillId="0" borderId="1" xfId="0" applyNumberFormat="1" applyBorder="1" applyProtection="1"/>
    <xf numFmtId="0" fontId="2" fillId="0" borderId="0" xfId="0" applyFont="1" applyFill="1" applyBorder="1" applyProtection="1"/>
    <xf numFmtId="0" fontId="12" fillId="0" borderId="0" xfId="0" applyFont="1" applyBorder="1" applyAlignment="1" applyProtection="1">
      <alignment vertical="top"/>
    </xf>
    <xf numFmtId="0" fontId="56" fillId="0" borderId="0" xfId="0" applyFont="1" applyBorder="1" applyAlignment="1" applyProtection="1">
      <alignment horizontal="right"/>
    </xf>
    <xf numFmtId="0" fontId="0" fillId="0" borderId="0" xfId="0" applyFont="1" applyBorder="1" applyAlignment="1" applyProtection="1">
      <alignment vertical="center"/>
    </xf>
    <xf numFmtId="0" fontId="57" fillId="0" borderId="0" xfId="0" applyFont="1" applyBorder="1" applyAlignment="1" applyProtection="1">
      <alignment horizontal="center" vertical="top" wrapText="1"/>
    </xf>
    <xf numFmtId="0" fontId="18" fillId="0" borderId="0" xfId="0" applyFont="1" applyFill="1" applyBorder="1" applyAlignment="1" applyProtection="1">
      <alignment horizontal="right" vertical="center" wrapText="1"/>
    </xf>
    <xf numFmtId="0" fontId="0" fillId="0" borderId="19" xfId="0" applyFill="1" applyBorder="1" applyProtection="1"/>
    <xf numFmtId="9" fontId="0" fillId="6" borderId="1" xfId="0" applyNumberFormat="1" applyFill="1" applyBorder="1" applyProtection="1">
      <protection locked="0"/>
    </xf>
    <xf numFmtId="9" fontId="0" fillId="0" borderId="1" xfId="2" applyFont="1" applyFill="1" applyBorder="1" applyAlignment="1" applyProtection="1">
      <alignment horizontal="center"/>
      <protection locked="0"/>
    </xf>
    <xf numFmtId="9" fontId="0" fillId="0" borderId="0" xfId="0" applyNumberFormat="1" applyFill="1" applyBorder="1" applyProtection="1">
      <protection locked="0"/>
    </xf>
    <xf numFmtId="3" fontId="0" fillId="0" borderId="1" xfId="2" applyNumberFormat="1" applyFont="1" applyFill="1" applyBorder="1" applyAlignment="1" applyProtection="1">
      <alignment horizontal="center"/>
      <protection locked="0"/>
    </xf>
    <xf numFmtId="1" fontId="1" fillId="0" borderId="1" xfId="0" applyNumberFormat="1" applyFont="1" applyBorder="1" applyAlignment="1" applyProtection="1">
      <alignment horizontal="center"/>
    </xf>
    <xf numFmtId="0" fontId="1" fillId="0" borderId="0" xfId="0" applyFont="1" applyBorder="1" applyAlignment="1" applyProtection="1">
      <alignment horizontal="left" vertical="top"/>
    </xf>
    <xf numFmtId="9" fontId="0" fillId="0" borderId="0" xfId="0" applyNumberFormat="1" applyFill="1" applyBorder="1" applyAlignment="1" applyProtection="1">
      <protection locked="0"/>
    </xf>
    <xf numFmtId="0" fontId="57" fillId="0" borderId="0" xfId="0" applyFont="1" applyBorder="1" applyAlignment="1" applyProtection="1">
      <alignment horizontal="center" vertical="top"/>
    </xf>
    <xf numFmtId="0" fontId="2" fillId="0" borderId="0" xfId="0" applyFont="1" applyBorder="1" applyAlignment="1" applyProtection="1">
      <alignment horizontal="left" vertical="top"/>
    </xf>
    <xf numFmtId="0" fontId="2" fillId="0" borderId="0" xfId="0" applyFont="1" applyBorder="1" applyAlignment="1" applyProtection="1">
      <alignment horizontal="left"/>
    </xf>
    <xf numFmtId="0" fontId="0" fillId="7" borderId="1" xfId="0" applyNumberFormat="1" applyFill="1" applyBorder="1" applyProtection="1"/>
    <xf numFmtId="0" fontId="34" fillId="10" borderId="0" xfId="0" applyFont="1" applyFill="1" applyBorder="1" applyAlignment="1" applyProtection="1">
      <alignment horizontal="center"/>
    </xf>
    <xf numFmtId="0" fontId="0" fillId="0" borderId="0" xfId="0" applyBorder="1" applyAlignment="1" applyProtection="1">
      <alignment horizontal="left" wrapText="1"/>
    </xf>
    <xf numFmtId="0" fontId="1" fillId="0" borderId="0" xfId="0" applyFont="1" applyBorder="1" applyAlignment="1" applyProtection="1">
      <alignment horizontal="center"/>
    </xf>
    <xf numFmtId="0" fontId="0" fillId="0" borderId="0" xfId="0" applyAlignment="1" applyProtection="1">
      <alignment horizontal="center"/>
    </xf>
    <xf numFmtId="0" fontId="10" fillId="10" borderId="10" xfId="0" applyFont="1" applyFill="1" applyBorder="1" applyAlignment="1" applyProtection="1">
      <alignment horizontal="center"/>
    </xf>
    <xf numFmtId="0" fontId="0" fillId="10" borderId="0" xfId="0" applyFill="1" applyAlignment="1" applyProtection="1">
      <alignment horizontal="center"/>
    </xf>
    <xf numFmtId="0" fontId="51" fillId="10" borderId="0" xfId="0" applyFont="1" applyFill="1" applyBorder="1" applyAlignment="1" applyProtection="1">
      <alignment horizontal="center" vertical="top" wrapText="1"/>
    </xf>
    <xf numFmtId="167" fontId="0" fillId="0" borderId="7" xfId="0" applyNumberFormat="1" applyFill="1" applyBorder="1" applyAlignment="1" applyProtection="1">
      <alignment horizontal="center"/>
    </xf>
    <xf numFmtId="167" fontId="39" fillId="0" borderId="7" xfId="0" applyNumberFormat="1" applyFont="1" applyFill="1" applyBorder="1" applyAlignment="1" applyProtection="1">
      <alignment horizontal="center"/>
    </xf>
    <xf numFmtId="0" fontId="1" fillId="0" borderId="0" xfId="0" applyFont="1" applyFill="1" applyBorder="1" applyAlignment="1" applyProtection="1">
      <alignment horizontal="center" vertical="top" wrapText="1"/>
    </xf>
    <xf numFmtId="0" fontId="42" fillId="0" borderId="0" xfId="0" applyFont="1" applyFill="1" applyBorder="1" applyAlignment="1" applyProtection="1">
      <alignment horizontal="center" vertical="top" wrapText="1"/>
    </xf>
    <xf numFmtId="0" fontId="1" fillId="8" borderId="0" xfId="0" applyFont="1" applyFill="1" applyBorder="1" applyProtection="1"/>
    <xf numFmtId="0" fontId="0" fillId="8" borderId="0" xfId="0" applyFont="1" applyFill="1" applyBorder="1" applyProtection="1"/>
    <xf numFmtId="0" fontId="1" fillId="8" borderId="0" xfId="0" applyFont="1" applyFill="1" applyBorder="1" applyAlignment="1" applyProtection="1">
      <alignment horizontal="left" wrapText="1"/>
    </xf>
    <xf numFmtId="0" fontId="0" fillId="10" borderId="0" xfId="0" applyFill="1" applyAlignment="1" applyProtection="1">
      <alignment wrapText="1"/>
    </xf>
    <xf numFmtId="0" fontId="0" fillId="8" borderId="1" xfId="0" applyFill="1" applyBorder="1" applyAlignment="1" applyProtection="1">
      <alignment horizontal="right"/>
    </xf>
    <xf numFmtId="0" fontId="0" fillId="6" borderId="1" xfId="0" applyFill="1" applyBorder="1" applyAlignment="1" applyProtection="1">
      <alignment horizontal="center"/>
      <protection locked="0"/>
    </xf>
    <xf numFmtId="0" fontId="1" fillId="8" borderId="0" xfId="0" applyFont="1" applyFill="1" applyProtection="1"/>
    <xf numFmtId="171" fontId="0" fillId="6" borderId="1" xfId="0" applyNumberFormat="1" applyFill="1" applyBorder="1" applyAlignment="1" applyProtection="1">
      <alignment horizontal="right"/>
    </xf>
    <xf numFmtId="0" fontId="0" fillId="0" borderId="0" xfId="0" applyFill="1" applyBorder="1" applyAlignment="1" applyProtection="1">
      <alignment horizontal="left" indent="2"/>
    </xf>
    <xf numFmtId="0" fontId="0" fillId="0" borderId="0" xfId="0" applyAlignment="1">
      <alignment horizontal="center"/>
    </xf>
    <xf numFmtId="0" fontId="35" fillId="0" borderId="0" xfId="0" applyFont="1" applyFill="1" applyAlignment="1" applyProtection="1">
      <alignment horizontal="left"/>
    </xf>
    <xf numFmtId="0" fontId="33" fillId="10" borderId="0" xfId="0" applyFont="1" applyFill="1" applyAlignment="1" applyProtection="1">
      <alignment horizontal="center"/>
    </xf>
    <xf numFmtId="0" fontId="34" fillId="4" borderId="0" xfId="0" applyFont="1" applyFill="1" applyAlignment="1" applyProtection="1">
      <alignment horizontal="center"/>
    </xf>
    <xf numFmtId="0" fontId="1" fillId="10" borderId="0" xfId="0" applyFont="1" applyFill="1" applyBorder="1" applyAlignment="1" applyProtection="1">
      <alignment horizontal="center"/>
    </xf>
    <xf numFmtId="0" fontId="0" fillId="8" borderId="0" xfId="0" applyFont="1" applyFill="1" applyProtection="1"/>
    <xf numFmtId="0" fontId="60" fillId="0" borderId="0" xfId="0" applyFont="1" applyFill="1" applyAlignment="1" applyProtection="1">
      <alignment horizontal="left" vertical="top"/>
    </xf>
    <xf numFmtId="0" fontId="21" fillId="0" borderId="0" xfId="3" applyFill="1" applyBorder="1" applyAlignment="1" applyProtection="1"/>
    <xf numFmtId="167" fontId="0" fillId="0" borderId="1" xfId="0" applyNumberFormat="1" applyBorder="1" applyAlignment="1" applyProtection="1">
      <alignment horizontal="center"/>
    </xf>
    <xf numFmtId="0" fontId="1" fillId="0" borderId="0" xfId="0" applyFont="1" applyBorder="1" applyAlignment="1" applyProtection="1">
      <alignment horizontal="center"/>
    </xf>
    <xf numFmtId="0" fontId="0" fillId="4" borderId="1" xfId="0" applyFill="1" applyBorder="1" applyAlignment="1" applyProtection="1">
      <alignment horizontal="center"/>
      <protection locked="0"/>
    </xf>
    <xf numFmtId="0" fontId="0" fillId="10" borderId="1" xfId="0" applyFill="1" applyBorder="1" applyAlignment="1" applyProtection="1">
      <alignment horizontal="center" vertical="center"/>
      <protection locked="0"/>
    </xf>
    <xf numFmtId="0" fontId="36" fillId="0" borderId="0" xfId="0" applyFont="1" applyProtection="1">
      <protection locked="0"/>
    </xf>
    <xf numFmtId="0" fontId="35" fillId="0" borderId="0" xfId="0" applyFont="1" applyFill="1" applyAlignment="1" applyProtection="1">
      <alignment horizontal="left"/>
      <protection locked="0"/>
    </xf>
    <xf numFmtId="3" fontId="0" fillId="0" borderId="1" xfId="0" applyNumberFormat="1" applyFill="1" applyBorder="1" applyProtection="1"/>
    <xf numFmtId="0" fontId="0" fillId="0" borderId="0" xfId="0" applyProtection="1">
      <protection locked="0"/>
    </xf>
    <xf numFmtId="0" fontId="0" fillId="0" borderId="0" xfId="0" applyAlignment="1">
      <alignment wrapText="1"/>
    </xf>
    <xf numFmtId="0" fontId="0" fillId="8" borderId="17" xfId="0" applyFill="1" applyBorder="1" applyAlignment="1">
      <alignment horizontal="center" vertical="top"/>
    </xf>
    <xf numFmtId="0" fontId="0" fillId="8" borderId="18" xfId="0" applyFill="1" applyBorder="1" applyAlignment="1">
      <alignment horizontal="center" vertical="top"/>
    </xf>
    <xf numFmtId="0" fontId="0" fillId="8" borderId="32" xfId="0" applyFill="1" applyBorder="1" applyAlignment="1">
      <alignment horizontal="center" vertical="top"/>
    </xf>
    <xf numFmtId="0" fontId="9" fillId="0" borderId="0" xfId="0" applyFont="1" applyAlignment="1">
      <alignment horizontal="left" vertical="center" wrapText="1"/>
    </xf>
    <xf numFmtId="0" fontId="0" fillId="0" borderId="0" xfId="0" applyFont="1" applyAlignment="1">
      <alignment horizontal="left" wrapText="1"/>
    </xf>
    <xf numFmtId="0" fontId="0" fillId="0" borderId="3"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1" fillId="0" borderId="1" xfId="0" applyFont="1" applyBorder="1" applyAlignment="1">
      <alignment vertical="top" wrapText="1"/>
    </xf>
    <xf numFmtId="0" fontId="53" fillId="0" borderId="1" xfId="0" applyFont="1" applyBorder="1" applyAlignment="1">
      <alignment vertical="top" wrapText="1"/>
    </xf>
    <xf numFmtId="0" fontId="0" fillId="0" borderId="1" xfId="0" applyBorder="1" applyAlignment="1">
      <alignment vertical="top" wrapText="1"/>
    </xf>
    <xf numFmtId="0" fontId="23" fillId="0" borderId="8" xfId="0" applyFont="1" applyBorder="1" applyAlignment="1">
      <alignment horizontal="center"/>
    </xf>
    <xf numFmtId="0" fontId="55" fillId="0" borderId="0" xfId="0" applyFont="1" applyAlignment="1">
      <alignment horizontal="center" wrapText="1"/>
    </xf>
    <xf numFmtId="0" fontId="55" fillId="0" borderId="8" xfId="0" applyFont="1" applyBorder="1" applyAlignment="1">
      <alignment horizontal="center" wrapText="1"/>
    </xf>
    <xf numFmtId="0" fontId="1" fillId="0" borderId="1" xfId="0" applyFont="1" applyBorder="1" applyAlignment="1" applyProtection="1">
      <alignment horizontal="center" wrapText="1"/>
    </xf>
    <xf numFmtId="0" fontId="1" fillId="0" borderId="1" xfId="0" applyFont="1" applyBorder="1" applyAlignment="1">
      <alignment horizontal="center" wrapText="1"/>
    </xf>
    <xf numFmtId="0" fontId="34" fillId="8" borderId="0" xfId="0" applyFont="1" applyFill="1" applyBorder="1" applyAlignment="1" applyProtection="1">
      <alignment horizontal="center"/>
    </xf>
    <xf numFmtId="0" fontId="0" fillId="0" borderId="0" xfId="0" applyAlignment="1">
      <alignment horizontal="center"/>
    </xf>
    <xf numFmtId="0" fontId="34" fillId="10" borderId="0" xfId="0" applyFont="1" applyFill="1" applyBorder="1" applyAlignment="1" applyProtection="1">
      <alignment horizontal="center" wrapText="1"/>
    </xf>
    <xf numFmtId="0" fontId="0" fillId="0" borderId="0" xfId="0" applyAlignment="1">
      <alignment wrapText="1"/>
    </xf>
    <xf numFmtId="0" fontId="36" fillId="0" borderId="0" xfId="0" applyFont="1" applyAlignment="1" applyProtection="1">
      <alignment horizontal="center"/>
    </xf>
    <xf numFmtId="0" fontId="0" fillId="8" borderId="5" xfId="0" applyFont="1" applyFill="1" applyBorder="1" applyAlignment="1" applyProtection="1"/>
    <xf numFmtId="0" fontId="0" fillId="8" borderId="0" xfId="0" applyFill="1" applyAlignment="1"/>
    <xf numFmtId="0" fontId="9" fillId="0" borderId="0" xfId="0" applyFont="1" applyFill="1" applyAlignment="1" applyProtection="1">
      <alignment wrapText="1"/>
    </xf>
    <xf numFmtId="0" fontId="34" fillId="1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0" borderId="0" xfId="0" applyBorder="1" applyAlignment="1" applyProtection="1">
      <alignment horizontal="center"/>
    </xf>
    <xf numFmtId="0" fontId="9" fillId="4" borderId="1" xfId="0" applyFont="1" applyFill="1" applyBorder="1" applyAlignment="1" applyProtection="1">
      <protection locked="0"/>
    </xf>
    <xf numFmtId="0" fontId="0" fillId="0" borderId="1" xfId="0" applyBorder="1" applyAlignment="1" applyProtection="1">
      <protection locked="0"/>
    </xf>
    <xf numFmtId="0" fontId="21" fillId="0" borderId="0" xfId="3" applyFill="1" applyAlignment="1" applyProtection="1">
      <alignment horizontal="left"/>
      <protection locked="0"/>
    </xf>
    <xf numFmtId="167" fontId="0" fillId="5" borderId="1" xfId="0" applyNumberFormat="1" applyFill="1" applyBorder="1" applyAlignment="1" applyProtection="1">
      <alignment horizontal="center"/>
    </xf>
    <xf numFmtId="0" fontId="9" fillId="0" borderId="19" xfId="0" applyFont="1" applyBorder="1" applyAlignment="1" applyProtection="1">
      <alignment horizontal="center" vertical="top" wrapText="1"/>
    </xf>
    <xf numFmtId="0" fontId="0" fillId="0" borderId="7" xfId="0" applyBorder="1" applyAlignment="1">
      <alignment horizontal="center" vertical="top" wrapText="1"/>
    </xf>
    <xf numFmtId="0" fontId="0" fillId="0" borderId="1" xfId="0" applyBorder="1" applyAlignment="1" applyProtection="1">
      <alignment horizontal="center" wrapText="1"/>
    </xf>
    <xf numFmtId="0" fontId="1" fillId="0" borderId="0" xfId="0" applyFont="1" applyBorder="1" applyAlignment="1" applyProtection="1">
      <alignment horizontal="center" wrapText="1"/>
    </xf>
    <xf numFmtId="0" fontId="1" fillId="0" borderId="8" xfId="0" applyFont="1" applyBorder="1" applyAlignment="1" applyProtection="1">
      <alignment horizontal="center" wrapText="1"/>
    </xf>
    <xf numFmtId="9" fontId="1" fillId="9" borderId="3" xfId="0" applyNumberFormat="1" applyFont="1" applyFill="1" applyBorder="1" applyAlignment="1" applyProtection="1">
      <alignment horizontal="center"/>
      <protection locked="0"/>
    </xf>
    <xf numFmtId="9" fontId="1" fillId="9" borderId="9"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xf>
    <xf numFmtId="0" fontId="1" fillId="0" borderId="0" xfId="0" applyFont="1" applyBorder="1" applyAlignment="1" applyProtection="1">
      <alignment horizontal="center" vertical="center" wrapText="1"/>
    </xf>
    <xf numFmtId="0" fontId="1" fillId="0" borderId="1" xfId="0" applyFont="1" applyFill="1" applyBorder="1" applyAlignment="1" applyProtection="1">
      <alignment horizontal="center" wrapText="1"/>
    </xf>
    <xf numFmtId="0" fontId="0" fillId="0" borderId="1" xfId="0" applyBorder="1" applyAlignment="1">
      <alignment horizontal="center" wrapText="1"/>
    </xf>
    <xf numFmtId="0" fontId="0" fillId="0" borderId="1" xfId="0" applyBorder="1" applyAlignment="1" applyProtection="1">
      <alignment horizontal="left"/>
    </xf>
    <xf numFmtId="0" fontId="41" fillId="0" borderId="0" xfId="0" applyFont="1" applyBorder="1" applyAlignment="1" applyProtection="1">
      <alignment horizontal="right" wrapText="1"/>
    </xf>
    <xf numFmtId="0" fontId="33" fillId="8" borderId="0" xfId="0" applyFont="1" applyFill="1" applyAlignment="1" applyProtection="1">
      <alignment horizontal="center" wrapText="1"/>
    </xf>
    <xf numFmtId="0" fontId="0" fillId="8" borderId="0" xfId="0" applyFill="1" applyAlignment="1">
      <alignment horizontal="center" wrapText="1"/>
    </xf>
    <xf numFmtId="0" fontId="1" fillId="0" borderId="0" xfId="0" applyFont="1" applyBorder="1" applyAlignment="1" applyProtection="1">
      <alignment horizontal="center"/>
    </xf>
    <xf numFmtId="0" fontId="34" fillId="10" borderId="0" xfId="0" applyFont="1" applyFill="1" applyBorder="1" applyAlignment="1" applyProtection="1">
      <alignment horizontal="center" vertical="top" wrapText="1"/>
    </xf>
    <xf numFmtId="0" fontId="9" fillId="0" borderId="0" xfId="0" applyFont="1" applyBorder="1" applyAlignment="1">
      <alignment horizontal="center" vertical="top" wrapText="1"/>
    </xf>
    <xf numFmtId="0" fontId="10" fillId="8" borderId="10" xfId="0" applyFont="1" applyFill="1" applyBorder="1" applyAlignment="1" applyProtection="1">
      <alignment horizontal="center"/>
    </xf>
    <xf numFmtId="0" fontId="0" fillId="8" borderId="10" xfId="0" applyFill="1" applyBorder="1" applyAlignment="1">
      <alignment horizontal="center"/>
    </xf>
    <xf numFmtId="0" fontId="58" fillId="8" borderId="0" xfId="0" applyFont="1" applyFill="1" applyBorder="1" applyAlignment="1" applyProtection="1">
      <alignment wrapText="1"/>
    </xf>
    <xf numFmtId="0" fontId="1" fillId="8" borderId="0" xfId="0" applyFont="1" applyFill="1" applyAlignment="1">
      <alignment wrapText="1"/>
    </xf>
    <xf numFmtId="0" fontId="0" fillId="0" borderId="1" xfId="0" applyBorder="1" applyAlignment="1" applyProtection="1">
      <alignment vertical="top" wrapText="1"/>
    </xf>
    <xf numFmtId="167" fontId="0" fillId="0" borderId="19" xfId="0" applyNumberFormat="1" applyBorder="1" applyAlignment="1" applyProtection="1">
      <alignment horizontal="left" vertical="top" wrapText="1"/>
    </xf>
    <xf numFmtId="167" fontId="0" fillId="0" borderId="12" xfId="0" applyNumberFormat="1" applyBorder="1" applyAlignment="1" applyProtection="1">
      <alignment horizontal="left" vertical="top" wrapText="1"/>
    </xf>
    <xf numFmtId="167" fontId="0" fillId="0" borderId="7" xfId="0" applyNumberFormat="1" applyBorder="1" applyAlignment="1" applyProtection="1">
      <alignment horizontal="left" vertical="top" wrapText="1"/>
    </xf>
    <xf numFmtId="0" fontId="0" fillId="0" borderId="1" xfId="0" applyBorder="1" applyAlignment="1" applyProtection="1">
      <alignment horizontal="left" vertical="top" wrapText="1"/>
    </xf>
    <xf numFmtId="0" fontId="0" fillId="0" borderId="1" xfId="0" applyBorder="1" applyAlignment="1">
      <alignment horizontal="left" vertical="top" wrapText="1"/>
    </xf>
    <xf numFmtId="167" fontId="0" fillId="0" borderId="19" xfId="0" applyNumberFormat="1" applyBorder="1" applyAlignment="1" applyProtection="1">
      <alignment horizontal="center"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wrapText="1"/>
    </xf>
    <xf numFmtId="167" fontId="0" fillId="0" borderId="19" xfId="0" applyNumberFormat="1" applyBorder="1" applyAlignment="1" applyProtection="1">
      <alignment horizontal="center" vertical="center" wrapText="1"/>
    </xf>
    <xf numFmtId="167" fontId="0" fillId="0" borderId="7" xfId="0" applyNumberFormat="1" applyBorder="1" applyAlignment="1" applyProtection="1">
      <alignment horizontal="center" vertical="center" wrapText="1"/>
    </xf>
    <xf numFmtId="167" fontId="0" fillId="0" borderId="1" xfId="0" applyNumberFormat="1" applyBorder="1" applyAlignment="1" applyProtection="1">
      <alignment horizontal="center"/>
    </xf>
    <xf numFmtId="37" fontId="0" fillId="0" borderId="3" xfId="0" applyNumberFormat="1" applyFill="1" applyBorder="1" applyAlignment="1" applyProtection="1">
      <alignment horizontal="center"/>
    </xf>
    <xf numFmtId="37" fontId="0" fillId="0" borderId="4" xfId="0" applyNumberFormat="1" applyFill="1" applyBorder="1" applyAlignment="1" applyProtection="1">
      <alignment horizontal="center"/>
    </xf>
    <xf numFmtId="0" fontId="0" fillId="0" borderId="10" xfId="0" applyFill="1" applyBorder="1" applyAlignment="1" applyProtection="1">
      <protection locked="0"/>
    </xf>
    <xf numFmtId="37" fontId="0" fillId="0" borderId="1" xfId="0" applyNumberFormat="1" applyFill="1" applyBorder="1" applyAlignment="1" applyProtection="1">
      <alignment horizontal="center"/>
    </xf>
    <xf numFmtId="0" fontId="5" fillId="0" borderId="5"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0" fillId="0" borderId="5" xfId="0" applyBorder="1" applyAlignment="1" applyProtection="1">
      <alignment horizontal="right" wrapText="1"/>
    </xf>
    <xf numFmtId="0" fontId="1" fillId="0" borderId="0" xfId="0" applyFont="1" applyBorder="1" applyAlignment="1" applyProtection="1">
      <alignment horizontal="left"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33" fillId="8" borderId="0" xfId="0" applyFont="1" applyFill="1" applyBorder="1" applyAlignment="1" applyProtection="1">
      <alignment horizontal="center"/>
    </xf>
    <xf numFmtId="0" fontId="59" fillId="8" borderId="0" xfId="0" applyFont="1" applyFill="1" applyAlignment="1">
      <alignment horizontal="center"/>
    </xf>
    <xf numFmtId="0" fontId="12" fillId="0" borderId="5" xfId="0" applyFont="1" applyFill="1" applyBorder="1" applyAlignment="1" applyProtection="1"/>
    <xf numFmtId="0" fontId="0" fillId="0" borderId="0" xfId="0" applyFill="1" applyAlignment="1"/>
    <xf numFmtId="167" fontId="0" fillId="5" borderId="3" xfId="0" applyNumberFormat="1" applyFill="1" applyBorder="1" applyAlignment="1" applyProtection="1">
      <alignment horizontal="center"/>
    </xf>
    <xf numFmtId="167" fontId="0" fillId="5" borderId="4" xfId="0" applyNumberFormat="1" applyFill="1" applyBorder="1" applyAlignment="1" applyProtection="1">
      <alignment horizontal="center"/>
    </xf>
    <xf numFmtId="0" fontId="0" fillId="0" borderId="5"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4" fillId="11" borderId="8" xfId="0" applyFont="1" applyFill="1" applyBorder="1" applyAlignment="1" applyProtection="1">
      <alignment horizontal="center" vertical="center" wrapText="1"/>
    </xf>
    <xf numFmtId="0" fontId="4" fillId="11" borderId="22" xfId="0" applyFont="1" applyFill="1" applyBorder="1" applyAlignment="1" applyProtection="1">
      <alignment horizontal="center" vertical="center" wrapText="1"/>
    </xf>
    <xf numFmtId="0" fontId="34" fillId="4" borderId="0" xfId="0" applyFont="1" applyFill="1" applyAlignment="1" applyProtection="1">
      <alignment horizontal="center"/>
    </xf>
    <xf numFmtId="0" fontId="33" fillId="10" borderId="0" xfId="0" applyFont="1" applyFill="1" applyAlignment="1" applyProtection="1">
      <alignment horizontal="center"/>
    </xf>
    <xf numFmtId="0" fontId="36" fillId="0" borderId="0" xfId="0" applyFont="1" applyFill="1" applyAlignment="1" applyProtection="1">
      <alignment horizontal="center"/>
    </xf>
    <xf numFmtId="0" fontId="61" fillId="0" borderId="0" xfId="0" applyFont="1" applyAlignment="1">
      <alignment horizontal="center"/>
    </xf>
    <xf numFmtId="0" fontId="0" fillId="6" borderId="3" xfId="0" applyFill="1" applyBorder="1" applyAlignment="1" applyProtection="1">
      <protection locked="0"/>
    </xf>
    <xf numFmtId="0" fontId="0" fillId="0" borderId="4" xfId="0" applyBorder="1" applyAlignment="1" applyProtection="1">
      <protection locked="0"/>
    </xf>
    <xf numFmtId="0" fontId="0" fillId="0" borderId="11" xfId="0" applyFill="1" applyBorder="1" applyAlignment="1" applyProtection="1"/>
    <xf numFmtId="0" fontId="0" fillId="0" borderId="20" xfId="0" applyBorder="1" applyAlignment="1" applyProtection="1"/>
    <xf numFmtId="0" fontId="0" fillId="0" borderId="1" xfId="0" applyBorder="1" applyAlignment="1" applyProtection="1">
      <alignment horizontal="left" wrapText="1"/>
    </xf>
    <xf numFmtId="0" fontId="44" fillId="0" borderId="0" xfId="0" applyFont="1" applyAlignment="1" applyProtection="1">
      <alignment horizontal="left" vertical="top" wrapText="1"/>
    </xf>
    <xf numFmtId="0" fontId="44"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0" fillId="0" borderId="0" xfId="0" applyBorder="1" applyAlignment="1" applyProtection="1">
      <alignment horizontal="left" vertical="center" wrapText="1"/>
    </xf>
    <xf numFmtId="0" fontId="0" fillId="0" borderId="0" xfId="0" applyBorder="1" applyAlignment="1" applyProtection="1">
      <alignment horizontal="left" wrapText="1"/>
    </xf>
    <xf numFmtId="0" fontId="0" fillId="10" borderId="0" xfId="0" applyFill="1" applyBorder="1" applyAlignment="1" applyProtection="1">
      <alignment horizontal="center"/>
    </xf>
    <xf numFmtId="0" fontId="0" fillId="0" borderId="0" xfId="0" applyFont="1" applyAlignment="1" applyProtection="1"/>
    <xf numFmtId="0" fontId="0" fillId="0" borderId="0" xfId="0" applyFont="1" applyAlignment="1" applyProtection="1">
      <alignment wrapText="1"/>
    </xf>
    <xf numFmtId="0" fontId="0" fillId="0" borderId="0" xfId="0" applyAlignment="1" applyProtection="1">
      <alignment wrapText="1"/>
    </xf>
    <xf numFmtId="0" fontId="0" fillId="0" borderId="0" xfId="0" applyFont="1" applyFill="1" applyAlignment="1" applyProtection="1">
      <alignment horizontal="left" vertical="top" wrapText="1"/>
    </xf>
    <xf numFmtId="0" fontId="0" fillId="0" borderId="0" xfId="0" applyAlignment="1" applyProtection="1">
      <alignment horizontal="left" vertical="top" wrapText="1"/>
    </xf>
    <xf numFmtId="0" fontId="40" fillId="13" borderId="3" xfId="0" applyFont="1" applyFill="1" applyBorder="1" applyAlignment="1" applyProtection="1">
      <alignment horizontal="center" vertical="center"/>
    </xf>
    <xf numFmtId="0" fontId="40" fillId="13" borderId="9" xfId="0" applyFont="1" applyFill="1" applyBorder="1" applyAlignment="1" applyProtection="1">
      <alignment horizontal="center" vertical="center"/>
    </xf>
    <xf numFmtId="0" fontId="40" fillId="13" borderId="4" xfId="0" applyFont="1" applyFill="1" applyBorder="1" applyAlignment="1" applyProtection="1">
      <alignment horizontal="center" vertical="center"/>
    </xf>
    <xf numFmtId="0" fontId="23" fillId="10" borderId="0" xfId="0" applyFont="1" applyFill="1" applyAlignment="1" applyProtection="1">
      <alignment horizontal="center"/>
    </xf>
    <xf numFmtId="0" fontId="0" fillId="0" borderId="3" xfId="0" applyFill="1" applyBorder="1" applyAlignment="1" applyProtection="1">
      <alignment horizontal="center"/>
    </xf>
    <xf numFmtId="0" fontId="0" fillId="0" borderId="9" xfId="0" applyFill="1" applyBorder="1" applyAlignment="1" applyProtection="1">
      <alignment horizontal="center"/>
    </xf>
    <xf numFmtId="0" fontId="0" fillId="0" borderId="4" xfId="0" applyFill="1" applyBorder="1" applyAlignment="1" applyProtection="1">
      <alignment horizontal="center"/>
    </xf>
    <xf numFmtId="0" fontId="1" fillId="10" borderId="0" xfId="0" applyFont="1" applyFill="1" applyAlignment="1" applyProtection="1">
      <alignment horizontal="center"/>
    </xf>
    <xf numFmtId="0" fontId="1" fillId="10" borderId="0" xfId="0" applyFont="1" applyFill="1" applyAlignment="1" applyProtection="1">
      <alignment horizontal="center" wrapText="1"/>
    </xf>
    <xf numFmtId="0" fontId="0" fillId="0" borderId="1" xfId="0" applyBorder="1" applyAlignment="1" applyProtection="1">
      <alignment horizontal="left" vertical="center" wrapText="1"/>
    </xf>
    <xf numFmtId="0" fontId="1" fillId="2" borderId="3" xfId="0" applyFont="1" applyFill="1" applyBorder="1" applyAlignment="1">
      <alignment horizontal="center"/>
    </xf>
    <xf numFmtId="0" fontId="0" fillId="2" borderId="9" xfId="0" applyFill="1" applyBorder="1" applyAlignment="1">
      <alignment horizontal="center"/>
    </xf>
    <xf numFmtId="0" fontId="0" fillId="2" borderId="4" xfId="0"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1" fillId="2" borderId="13" xfId="0" applyFont="1" applyFill="1" applyBorder="1" applyAlignment="1">
      <alignment horizontal="center" wrapText="1"/>
    </xf>
    <xf numFmtId="0" fontId="1" fillId="2" borderId="6" xfId="0" applyFont="1" applyFill="1" applyBorder="1" applyAlignment="1">
      <alignment horizontal="center" wrapText="1"/>
    </xf>
    <xf numFmtId="0" fontId="1" fillId="2" borderId="16" xfId="0" applyFont="1" applyFill="1" applyBorder="1" applyAlignment="1">
      <alignment horizontal="center" wrapText="1"/>
    </xf>
  </cellXfs>
  <cellStyles count="182">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Hyperlink" xfId="3" builtinId="8"/>
    <cellStyle name="Normal" xfId="0" builtinId="0"/>
    <cellStyle name="Percent" xfId="2" builtinId="5"/>
  </cellStyles>
  <dxfs count="19">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405DEE"/>
        </patternFill>
      </fill>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405DEE"/>
        </patternFill>
      </fill>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405DEE"/>
        </patternFill>
      </fill>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405DEE"/>
        </patternFill>
      </fill>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405DEE"/>
        </patternFill>
      </fill>
    </dxf>
    <dxf>
      <font>
        <color theme="7" tint="0.39994506668294322"/>
      </font>
    </dxf>
    <dxf>
      <font>
        <color theme="7" tint="0.39994506668294322"/>
      </font>
      <fill>
        <patternFill>
          <bgColor theme="7" tint="0.39994506668294322"/>
        </patternFill>
      </fill>
    </dxf>
    <dxf>
      <font>
        <color theme="7" tint="0.39994506668294322"/>
      </font>
      <fill>
        <patternFill>
          <bgColor theme="7" tint="0.39994506668294322"/>
        </patternFill>
      </fill>
    </dxf>
    <dxf>
      <font>
        <color auto="1"/>
      </font>
      <fill>
        <patternFill>
          <bgColor theme="5" tint="0.39994506668294322"/>
        </patternFill>
      </fill>
    </dxf>
  </dxfs>
  <tableStyles count="0" defaultTableStyle="TableStyleMedium2" defaultPivotStyle="PivotStyleLight16"/>
  <colors>
    <mruColors>
      <color rgb="FF777777"/>
      <color rgb="FF405DEE"/>
      <color rgb="FF1E41EB"/>
      <color rgb="FF4141EB"/>
      <color rgb="FF3232E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44418</xdr:rowOff>
    </xdr:from>
    <xdr:to>
      <xdr:col>16</xdr:col>
      <xdr:colOff>569595</xdr:colOff>
      <xdr:row>24</xdr:row>
      <xdr:rowOff>108302</xdr:rowOff>
    </xdr:to>
    <xdr:grpSp>
      <xdr:nvGrpSpPr>
        <xdr:cNvPr id="15" name="Group 14">
          <a:extLst>
            <a:ext uri="{FF2B5EF4-FFF2-40B4-BE49-F238E27FC236}">
              <a16:creationId xmlns:a16="http://schemas.microsoft.com/office/drawing/2014/main" id="{BA691677-9176-4AF8-AA6F-8FDF656A2226}"/>
            </a:ext>
          </a:extLst>
        </xdr:cNvPr>
        <xdr:cNvGrpSpPr/>
      </xdr:nvGrpSpPr>
      <xdr:grpSpPr>
        <a:xfrm>
          <a:off x="0" y="4146518"/>
          <a:ext cx="11872595" cy="635384"/>
          <a:chOff x="315566" y="1383771"/>
          <a:chExt cx="9708922" cy="749828"/>
        </a:xfrm>
      </xdr:grpSpPr>
      <xdr:sp macro="" textlink="">
        <xdr:nvSpPr>
          <xdr:cNvPr id="17" name="Rectangle 16">
            <a:extLst>
              <a:ext uri="{FF2B5EF4-FFF2-40B4-BE49-F238E27FC236}">
                <a16:creationId xmlns:a16="http://schemas.microsoft.com/office/drawing/2014/main" id="{0FFD206E-AB74-49AF-BE25-0A3FADFBF6A2}"/>
              </a:ext>
            </a:extLst>
          </xdr:cNvPr>
          <xdr:cNvSpPr/>
        </xdr:nvSpPr>
        <xdr:spPr>
          <a:xfrm>
            <a:off x="2438401" y="1413163"/>
            <a:ext cx="1738745" cy="720436"/>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200"/>
              <a:t>Population Estimator Tool</a:t>
            </a:r>
          </a:p>
        </xdr:txBody>
      </xdr:sp>
      <xdr:sp macro="" textlink="">
        <xdr:nvSpPr>
          <xdr:cNvPr id="18" name="Rectangle 17">
            <a:extLst>
              <a:ext uri="{FF2B5EF4-FFF2-40B4-BE49-F238E27FC236}">
                <a16:creationId xmlns:a16="http://schemas.microsoft.com/office/drawing/2014/main" id="{AC78077D-BE9B-407D-9B89-494C86D0E488}"/>
              </a:ext>
            </a:extLst>
          </xdr:cNvPr>
          <xdr:cNvSpPr/>
        </xdr:nvSpPr>
        <xdr:spPr>
          <a:xfrm>
            <a:off x="6288900" y="1385937"/>
            <a:ext cx="1738745" cy="720437"/>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200"/>
              <a:t>Therapy Impact Modeling Tool</a:t>
            </a:r>
          </a:p>
        </xdr:txBody>
      </xdr:sp>
      <xdr:sp macro="" textlink="">
        <xdr:nvSpPr>
          <xdr:cNvPr id="19" name="Rectangle 18">
            <a:extLst>
              <a:ext uri="{FF2B5EF4-FFF2-40B4-BE49-F238E27FC236}">
                <a16:creationId xmlns:a16="http://schemas.microsoft.com/office/drawing/2014/main" id="{768F3511-1604-472B-8538-E5DBE99B5AEB}"/>
              </a:ext>
            </a:extLst>
          </xdr:cNvPr>
          <xdr:cNvSpPr/>
        </xdr:nvSpPr>
        <xdr:spPr>
          <a:xfrm>
            <a:off x="8285743" y="1383771"/>
            <a:ext cx="1738745" cy="720437"/>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200"/>
              <a:t>Solution Prioritization Tool </a:t>
            </a:r>
          </a:p>
        </xdr:txBody>
      </xdr:sp>
      <xdr:sp macro="" textlink="">
        <xdr:nvSpPr>
          <xdr:cNvPr id="20" name="TextBox 10">
            <a:extLst>
              <a:ext uri="{FF2B5EF4-FFF2-40B4-BE49-F238E27FC236}">
                <a16:creationId xmlns:a16="http://schemas.microsoft.com/office/drawing/2014/main" id="{958FCF8B-259C-4F99-8C95-5C9C741CBC4B}"/>
              </a:ext>
            </a:extLst>
          </xdr:cNvPr>
          <xdr:cNvSpPr txBox="1"/>
        </xdr:nvSpPr>
        <xdr:spPr>
          <a:xfrm>
            <a:off x="315566" y="1450216"/>
            <a:ext cx="2088201" cy="55238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Individual Indication</a:t>
            </a:r>
          </a:p>
          <a:p>
            <a:pPr algn="ctr"/>
            <a:r>
              <a:rPr lang="en-US" sz="1200"/>
              <a:t>Assessment</a:t>
            </a:r>
          </a:p>
        </xdr:txBody>
      </xdr:sp>
      <xdr:cxnSp macro="">
        <xdr:nvCxnSpPr>
          <xdr:cNvPr id="21" name="Straight Arrow Connector 20">
            <a:extLst>
              <a:ext uri="{FF2B5EF4-FFF2-40B4-BE49-F238E27FC236}">
                <a16:creationId xmlns:a16="http://schemas.microsoft.com/office/drawing/2014/main" id="{AAC27846-559E-46A7-AEBC-115AFCAE6A5A}"/>
              </a:ext>
            </a:extLst>
          </xdr:cNvPr>
          <xdr:cNvCxnSpPr/>
        </xdr:nvCxnSpPr>
        <xdr:spPr>
          <a:xfrm flipV="1">
            <a:off x="4177145" y="1768637"/>
            <a:ext cx="2111755" cy="27226"/>
          </a:xfrm>
          <a:prstGeom prst="straightConnector1">
            <a:avLst/>
          </a:prstGeom>
          <a:ln>
            <a:solidFill>
              <a:srgbClr val="406325"/>
            </a:solidFill>
            <a:prstDash val="dash"/>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C7B9FD53-2809-464D-A28B-70C5DEF11663}"/>
              </a:ext>
            </a:extLst>
          </xdr:cNvPr>
          <xdr:cNvCxnSpPr>
            <a:cxnSpLocks/>
            <a:stCxn id="18" idx="3"/>
            <a:endCxn id="19" idx="1"/>
          </xdr:cNvCxnSpPr>
        </xdr:nvCxnSpPr>
        <xdr:spPr>
          <a:xfrm flipV="1">
            <a:off x="8027644" y="1743990"/>
            <a:ext cx="258099" cy="2166"/>
          </a:xfrm>
          <a:prstGeom prst="straightConnector1">
            <a:avLst/>
          </a:prstGeom>
          <a:ln>
            <a:solidFill>
              <a:srgbClr val="406325"/>
            </a:solidFill>
            <a:prstDash val="dash"/>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516256</xdr:colOff>
      <xdr:row>21</xdr:row>
      <xdr:rowOff>76207</xdr:rowOff>
    </xdr:from>
    <xdr:to>
      <xdr:col>10</xdr:col>
      <xdr:colOff>133350</xdr:colOff>
      <xdr:row>24</xdr:row>
      <xdr:rowOff>109620</xdr:rowOff>
    </xdr:to>
    <xdr:sp macro="" textlink="">
      <xdr:nvSpPr>
        <xdr:cNvPr id="23" name="Rectangle 22">
          <a:extLst>
            <a:ext uri="{FF2B5EF4-FFF2-40B4-BE49-F238E27FC236}">
              <a16:creationId xmlns:a16="http://schemas.microsoft.com/office/drawing/2014/main" id="{182506A5-0EF5-443F-B6CD-AFB2CD445927}"/>
            </a:ext>
          </a:extLst>
        </xdr:cNvPr>
        <xdr:cNvSpPr/>
      </xdr:nvSpPr>
      <xdr:spPr>
        <a:xfrm>
          <a:off x="4650106" y="4181482"/>
          <a:ext cx="1388744" cy="604913"/>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200"/>
            <a:t>Market Adjustment Tool</a:t>
          </a:r>
        </a:p>
      </xdr:txBody>
    </xdr:sp>
    <xdr:clientData/>
  </xdr:twoCellAnchor>
  <xdr:twoCellAnchor>
    <xdr:from>
      <xdr:col>7</xdr:col>
      <xdr:colOff>66675</xdr:colOff>
      <xdr:row>22</xdr:row>
      <xdr:rowOff>188164</xdr:rowOff>
    </xdr:from>
    <xdr:to>
      <xdr:col>7</xdr:col>
      <xdr:colOff>516256</xdr:colOff>
      <xdr:row>23</xdr:row>
      <xdr:rowOff>1</xdr:rowOff>
    </xdr:to>
    <xdr:cxnSp macro="">
      <xdr:nvCxnSpPr>
        <xdr:cNvPr id="25" name="Straight Arrow Connector 24">
          <a:extLst>
            <a:ext uri="{FF2B5EF4-FFF2-40B4-BE49-F238E27FC236}">
              <a16:creationId xmlns:a16="http://schemas.microsoft.com/office/drawing/2014/main" id="{39E43223-38CB-4B32-8782-6F63F2EA7B3E}"/>
            </a:ext>
          </a:extLst>
        </xdr:cNvPr>
        <xdr:cNvCxnSpPr>
          <a:endCxn id="23" idx="1"/>
        </xdr:cNvCxnSpPr>
      </xdr:nvCxnSpPr>
      <xdr:spPr>
        <a:xfrm flipV="1">
          <a:off x="4200525" y="4483939"/>
          <a:ext cx="449581" cy="2337"/>
        </a:xfrm>
        <a:prstGeom prst="straightConnector1">
          <a:avLst/>
        </a:prstGeom>
        <a:ln>
          <a:solidFill>
            <a:srgbClr val="406325"/>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165100</xdr:colOff>
      <xdr:row>82</xdr:row>
      <xdr:rowOff>77890</xdr:rowOff>
    </xdr:from>
    <xdr:to>
      <xdr:col>3</xdr:col>
      <xdr:colOff>622300</xdr:colOff>
      <xdr:row>118</xdr:row>
      <xdr:rowOff>162560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65100" y="16371990"/>
          <a:ext cx="6642100" cy="4008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ericnorman/Library/Containers/com.microsoft.Excel/Data/Documents/Users\ericnorman\Library\Containers\com.microsoft.Excel\Data\Documents\C:\Users\karengeary\Downloads\PayerAssessIndivIndic-unprotected_10-6-21_cmy_Karen-V3.xlsm?DC6B4843" TargetMode="External"/><Relationship Id="rId1" Type="http://schemas.openxmlformats.org/officeDocument/2006/relationships/externalLinkPath" Target="file:///DC6B4843/PayerAssessIndivIndic-unprotected_10-6-21_cmy_Karen-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Drop Down List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A6" totalsRowShown="0" headerRowDxfId="14" dataDxfId="13">
  <autoFilter ref="A4:A6" xr:uid="{00000000-0009-0000-0100-000001000000}"/>
  <tableColumns count="1">
    <tableColumn id="1" xr3:uid="{00000000-0010-0000-0000-000001000000}" name="Y/N Responses"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18:A20" totalsRowShown="0" headerRowDxfId="11" dataDxfId="10">
  <autoFilter ref="A18:A20" xr:uid="{00000000-0009-0000-0100-000002000000}"/>
  <tableColumns count="1">
    <tableColumn id="1" xr3:uid="{00000000-0010-0000-0100-000001000000}" name="Y/N Responses"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8:A10" totalsRowShown="0" headerRowDxfId="8" dataDxfId="7">
  <autoFilter ref="A8:A10" xr:uid="{00000000-0009-0000-0100-000003000000}"/>
  <tableColumns count="1">
    <tableColumn id="1" xr3:uid="{00000000-0010-0000-0200-000001000000}" name="Known/Estimated"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5" displayName="Table15" ref="A12:A14" totalsRowShown="0" headerRowDxfId="5" dataDxfId="4">
  <autoFilter ref="A12:A14" xr:uid="{00000000-0009-0000-0100-000004000000}"/>
  <tableColumns count="1">
    <tableColumn id="1" xr3:uid="{00000000-0010-0000-0300-000001000000}" name="Yes/No Responses" dataDxfId="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6" displayName="Table136" ref="A22:A24" totalsRowShown="0" headerRowDxfId="2" dataDxfId="1">
  <autoFilter ref="A22:A24" xr:uid="{00000000-0009-0000-0100-000005000000}"/>
  <tableColumns count="1">
    <tableColumn id="1" xr3:uid="{00000000-0010-0000-0400-000001000000}" name="Yes/No Respons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dropbox.com/s/sx9ufdibtwield3/FoCUS%20Individual%20Indication%20Workbook%20Use%20manual%204-2-22.docx?dl=0" TargetMode="External"/><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payingforcures.org/toolkit-overview/other-considerations/" TargetMode="External"/><Relationship Id="rId13" Type="http://schemas.openxmlformats.org/officeDocument/2006/relationships/hyperlink" Target="https://www.payingforcures.org/toolkit-overview/other-considerations/" TargetMode="External"/><Relationship Id="rId18" Type="http://schemas.openxmlformats.org/officeDocument/2006/relationships/hyperlink" Target="https://payingforcures.mit.edu/toolkit-overview/precision-financing-solutions/" TargetMode="External"/><Relationship Id="rId26" Type="http://schemas.openxmlformats.org/officeDocument/2006/relationships/hyperlink" Target="https://www.dropbox.com/s/sx9ufdibtwield3/FoCUS%20Individual%20Indication%20Workbook%20Use%20manual%204-2-22.docx?dl=0" TargetMode="External"/><Relationship Id="rId3" Type="http://schemas.openxmlformats.org/officeDocument/2006/relationships/hyperlink" Target="https://www.payingforcures.org/toolkit-overview/precision-financing-solutions/" TargetMode="External"/><Relationship Id="rId21" Type="http://schemas.openxmlformats.org/officeDocument/2006/relationships/hyperlink" Target="https://payingforcures.mit.edu/toolkit-overview/precision-financing-solutions/" TargetMode="External"/><Relationship Id="rId7" Type="http://schemas.openxmlformats.org/officeDocument/2006/relationships/hyperlink" Target="https://www.payingforcures.org/toolkit-overview/precision-financing-solutions/" TargetMode="External"/><Relationship Id="rId12" Type="http://schemas.openxmlformats.org/officeDocument/2006/relationships/hyperlink" Target="https://www.payingforcures.org/toolkit-overview/other-considerations/" TargetMode="External"/><Relationship Id="rId17" Type="http://schemas.openxmlformats.org/officeDocument/2006/relationships/hyperlink" Target="https://payingforcures.mit.edu/toolkit-overview/precision-financing-solutions/" TargetMode="External"/><Relationship Id="rId25" Type="http://schemas.openxmlformats.org/officeDocument/2006/relationships/hyperlink" Target="https://payingforcures.mit.edu/wp-content/uploads/2022/01/Toolkit-Individual-Indication-Workbook-Background.pdf" TargetMode="External"/><Relationship Id="rId2" Type="http://schemas.openxmlformats.org/officeDocument/2006/relationships/hyperlink" Target="https://www.payingforcures.org/toolkit-overview/precision-financing-solutions/" TargetMode="External"/><Relationship Id="rId16" Type="http://schemas.openxmlformats.org/officeDocument/2006/relationships/hyperlink" Target="https://payingforcures.mit.edu/toolkit-overview/precision-financing-solutions/" TargetMode="External"/><Relationship Id="rId20" Type="http://schemas.openxmlformats.org/officeDocument/2006/relationships/hyperlink" Target="https://payingforcures.mit.edu/toolkit-overview/precision-financing-solutions/" TargetMode="External"/><Relationship Id="rId1" Type="http://schemas.openxmlformats.org/officeDocument/2006/relationships/hyperlink" Target="https://www.payingforcures.org/toolkit-overview/precision-financing-solutions/" TargetMode="External"/><Relationship Id="rId6" Type="http://schemas.openxmlformats.org/officeDocument/2006/relationships/hyperlink" Target="https://www.payingforcures.org/toolkit-overview/precision-financing-solutions/" TargetMode="External"/><Relationship Id="rId11" Type="http://schemas.openxmlformats.org/officeDocument/2006/relationships/hyperlink" Target="https://www.payingforcures.org/toolkit-overview/other-considerations/" TargetMode="External"/><Relationship Id="rId24" Type="http://schemas.openxmlformats.org/officeDocument/2006/relationships/hyperlink" Target="https://payingforcures.mit.edu/wp-content/uploads/2022/01/Supplier-Evaluation-Template-220104.xlsx" TargetMode="External"/><Relationship Id="rId5" Type="http://schemas.openxmlformats.org/officeDocument/2006/relationships/hyperlink" Target="https://www.payingforcures.org/toolkit-overview/precision-financing-solutions/" TargetMode="External"/><Relationship Id="rId15" Type="http://schemas.openxmlformats.org/officeDocument/2006/relationships/hyperlink" Target="https://www.payingforcures.org/toolkit-overview/other-considerations/" TargetMode="External"/><Relationship Id="rId23" Type="http://schemas.openxmlformats.org/officeDocument/2006/relationships/hyperlink" Target="https://payingforcures.mit.edu/toolkit-overview/precision-financing-solutions/" TargetMode="External"/><Relationship Id="rId28" Type="http://schemas.openxmlformats.org/officeDocument/2006/relationships/drawing" Target="../drawings/drawing2.xml"/><Relationship Id="rId10" Type="http://schemas.openxmlformats.org/officeDocument/2006/relationships/hyperlink" Target="https://www.payingforcures.org/toolkit-overview/other-considerations/" TargetMode="External"/><Relationship Id="rId19" Type="http://schemas.openxmlformats.org/officeDocument/2006/relationships/hyperlink" Target="https://payingforcures.mit.edu/toolkit-overview/precision-financing-solutions/" TargetMode="External"/><Relationship Id="rId4" Type="http://schemas.openxmlformats.org/officeDocument/2006/relationships/hyperlink" Target="https://www.payingforcures.org/toolkit-overview/precision-financing-solutions/" TargetMode="External"/><Relationship Id="rId9" Type="http://schemas.openxmlformats.org/officeDocument/2006/relationships/hyperlink" Target="https://www.payingforcures.org/toolkit-overview/other-considerations/" TargetMode="External"/><Relationship Id="rId14" Type="http://schemas.openxmlformats.org/officeDocument/2006/relationships/hyperlink" Target="https://www.payingforcures.org/toolkit-overview/other-considerations/" TargetMode="External"/><Relationship Id="rId22" Type="http://schemas.openxmlformats.org/officeDocument/2006/relationships/hyperlink" Target="https://payingforcures.mit.edu/toolkit-overview/precision-financing-solutions/" TargetMode="External"/><Relationship Id="rId27"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medlineplus.gov/genetics/condition/progressive-familial-intrahepatic-cholestasis/" TargetMode="External"/><Relationship Id="rId21" Type="http://schemas.openxmlformats.org/officeDocument/2006/relationships/hyperlink" Target="https://www.ncbi.nlm.nih.gov/books/NBK114459/" TargetMode="External"/><Relationship Id="rId42" Type="http://schemas.openxmlformats.org/officeDocument/2006/relationships/hyperlink" Target="https://www.ncbi.nlm.nih.gov/pmc/articles/PMC5780543/" TargetMode="External"/><Relationship Id="rId63" Type="http://schemas.openxmlformats.org/officeDocument/2006/relationships/hyperlink" Target="https://ghr.nlm.nih.gov/condition/leber-congenital-amaurosis" TargetMode="External"/><Relationship Id="rId84" Type="http://schemas.openxmlformats.org/officeDocument/2006/relationships/hyperlink" Target="https://medlineplus.gov/genetics/condition/mucopolysaccharidosis-type-ii/" TargetMode="External"/><Relationship Id="rId138" Type="http://schemas.openxmlformats.org/officeDocument/2006/relationships/hyperlink" Target="https://pubmed.ncbi.nlm.nih.gov/29361840/" TargetMode="External"/><Relationship Id="rId159" Type="http://schemas.openxmlformats.org/officeDocument/2006/relationships/hyperlink" Target="https://medlineplus.gov/genetics/condition/osteoarthritis/" TargetMode="External"/><Relationship Id="rId170" Type="http://schemas.openxmlformats.org/officeDocument/2006/relationships/hyperlink" Target="https://medlineplus.gov/genetics/condition/cdkl5-deficiency-disorder/" TargetMode="External"/><Relationship Id="rId191" Type="http://schemas.openxmlformats.org/officeDocument/2006/relationships/hyperlink" Target="https://medlineplus.gov/genetics/condition/huntington-disease/" TargetMode="External"/><Relationship Id="rId205" Type="http://schemas.openxmlformats.org/officeDocument/2006/relationships/hyperlink" Target="https://www.ncbi.nlm.nih.gov/books/NBK500456/" TargetMode="External"/><Relationship Id="rId107" Type="http://schemas.openxmlformats.org/officeDocument/2006/relationships/hyperlink" Target="https://www.ncbi.nlm.nih.gov/pmc/articles/PMC5003321/" TargetMode="External"/><Relationship Id="rId11" Type="http://schemas.openxmlformats.org/officeDocument/2006/relationships/hyperlink" Target="https://www.ncbi.nlm.nih.gov/books/NBK476309/table/app8.t1/" TargetMode="External"/><Relationship Id="rId32" Type="http://schemas.openxmlformats.org/officeDocument/2006/relationships/hyperlink" Target="https://web.archive.org/web/20190329161935/https:/www1.magellanrx.com/media/604882/2016mrxtrendreport_final.pdf" TargetMode="External"/><Relationship Id="rId53" Type="http://schemas.openxmlformats.org/officeDocument/2006/relationships/hyperlink" Target="https://www.ncbi.nlm.nih.gov/books/NBK1420/" TargetMode="External"/><Relationship Id="rId74" Type="http://schemas.openxmlformats.org/officeDocument/2006/relationships/hyperlink" Target="https://ghr.nlm.nih.gov/condition/menkes-syndrome" TargetMode="External"/><Relationship Id="rId128" Type="http://schemas.openxmlformats.org/officeDocument/2006/relationships/hyperlink" Target="https://www.ncbi.nlm.nih.gov/gene/64421" TargetMode="External"/><Relationship Id="rId149" Type="http://schemas.openxmlformats.org/officeDocument/2006/relationships/hyperlink" Target="https://www.ncbi.nlm.nih.gov/pmc/articles/PMC4528992/" TargetMode="External"/><Relationship Id="rId5" Type="http://schemas.openxmlformats.org/officeDocument/2006/relationships/hyperlink" Target="https://www.unboundmedicine.com/5minute/view/Select-5-Minute-Pediatric-Consult/14002/all/Alpha_1_Antitrypsin_Deficiency" TargetMode="External"/><Relationship Id="rId95" Type="http://schemas.openxmlformats.org/officeDocument/2006/relationships/hyperlink" Target="https://ghr.nlm.nih.gov/condition/x-linked-myotubular-myopathy" TargetMode="External"/><Relationship Id="rId160" Type="http://schemas.openxmlformats.org/officeDocument/2006/relationships/hyperlink" Target="https://medlineplus.gov/genetics/condition/rheumatoid-arthritis/" TargetMode="External"/><Relationship Id="rId181" Type="http://schemas.openxmlformats.org/officeDocument/2006/relationships/hyperlink" Target="https://medlineplus.gov/genetics/condition/dystrophic-epidermolysis-bullosa/" TargetMode="External"/><Relationship Id="rId216" Type="http://schemas.openxmlformats.org/officeDocument/2006/relationships/hyperlink" Target="https://www.ncbi.nlm.nih.gov/books/NBK91457/" TargetMode="External"/><Relationship Id="rId22" Type="http://schemas.openxmlformats.org/officeDocument/2006/relationships/hyperlink" Target="https://www.ncbi.nlm.nih.gov/books/NBK1303/" TargetMode="External"/><Relationship Id="rId43" Type="http://schemas.openxmlformats.org/officeDocument/2006/relationships/hyperlink" Target="https://erj.ersjournals.com/content/50/3/1700198" TargetMode="External"/><Relationship Id="rId64" Type="http://schemas.openxmlformats.org/officeDocument/2006/relationships/hyperlink" Target="https://rarediseases.org/rare-diseases/leber-hereditary-optic-neuropathy/" TargetMode="External"/><Relationship Id="rId118" Type="http://schemas.openxmlformats.org/officeDocument/2006/relationships/hyperlink" Target="https://medlineplus.gov/genetics/condition/progressive-supranuclear-palsy/" TargetMode="External"/><Relationship Id="rId139" Type="http://schemas.openxmlformats.org/officeDocument/2006/relationships/hyperlink" Target="https://medlineplus.gov/genetics/condition/usher-syndrome/" TargetMode="External"/><Relationship Id="rId85" Type="http://schemas.openxmlformats.org/officeDocument/2006/relationships/hyperlink" Target="https://medlineplus.gov/genetics/condition/mucopolysaccharidosis-type-iii/" TargetMode="External"/><Relationship Id="rId150" Type="http://schemas.openxmlformats.org/officeDocument/2006/relationships/hyperlink" Target="https://www.ncbi.nlm.nih.gov/books/NBK326436/" TargetMode="External"/><Relationship Id="rId171" Type="http://schemas.openxmlformats.org/officeDocument/2006/relationships/hyperlink" Target="https://medlineplus.gov/genetics/condition/chronic-granulomatous-disease/" TargetMode="External"/><Relationship Id="rId192" Type="http://schemas.openxmlformats.org/officeDocument/2006/relationships/hyperlink" Target="https://www.goodrx.com/" TargetMode="External"/><Relationship Id="rId206" Type="http://schemas.openxmlformats.org/officeDocument/2006/relationships/hyperlink" Target="https://www.ncbi.nlm.nih.gov/books/NBK1384/" TargetMode="External"/><Relationship Id="rId12" Type="http://schemas.openxmlformats.org/officeDocument/2006/relationships/hyperlink" Target="https://www.cff.org/Research/Researcher-Resources/Patient-Registry/Understanding-Changes-in-Life-Expectancy/" TargetMode="External"/><Relationship Id="rId33" Type="http://schemas.openxmlformats.org/officeDocument/2006/relationships/hyperlink" Target="https://www.fiercepharma.com/sales-and-marketing/biogen-prices-new-long-acting-hemophilia-med-eye-on-patient-switching" TargetMode="External"/><Relationship Id="rId108" Type="http://schemas.openxmlformats.org/officeDocument/2006/relationships/hyperlink" Target="https://www.goodrx.com/lodosyn" TargetMode="External"/><Relationship Id="rId129" Type="http://schemas.openxmlformats.org/officeDocument/2006/relationships/hyperlink" Target="http://help.carecentrix.com/ProviderResources/CURRENT_MEDS.xls" TargetMode="External"/><Relationship Id="rId54" Type="http://schemas.openxmlformats.org/officeDocument/2006/relationships/hyperlink" Target="https://ghr.nlm.nih.gov/condition/immune-dysregulation-polyendocrinopathy-enteropathy-x-linked-syndrome" TargetMode="External"/><Relationship Id="rId75" Type="http://schemas.openxmlformats.org/officeDocument/2006/relationships/hyperlink" Target="https://www.ninds.nih.gov/Disorders/All-Disorders/Menkes-Disease-Information-Page" TargetMode="External"/><Relationship Id="rId96" Type="http://schemas.openxmlformats.org/officeDocument/2006/relationships/hyperlink" Target="https://medlineplus.gov/genetics/condition/netherton-syndrome/" TargetMode="External"/><Relationship Id="rId140" Type="http://schemas.openxmlformats.org/officeDocument/2006/relationships/hyperlink" Target="https://investor.sangamo.com/news-releases/news-release-details/sangamo-announces-uk-authorization-phase-12-clinical-trial" TargetMode="External"/><Relationship Id="rId161" Type="http://schemas.openxmlformats.org/officeDocument/2006/relationships/hyperlink" Target="https://medlineplus.gov/genetics/condition/psoriatic-arthritis/" TargetMode="External"/><Relationship Id="rId182" Type="http://schemas.openxmlformats.org/officeDocument/2006/relationships/hyperlink" Target="https://medlineplus.gov/genetics/condition/junctional-epidermolysis-bullosa/" TargetMode="External"/><Relationship Id="rId217" Type="http://schemas.openxmlformats.org/officeDocument/2006/relationships/hyperlink" Target="https://www.ncbi.nlm.nih.gov/books/NBK1234/" TargetMode="External"/><Relationship Id="rId6" Type="http://schemas.openxmlformats.org/officeDocument/2006/relationships/hyperlink" Target="http://www.amyloidosis.org/wp-content/uploads/2017/05/2017-ATTR-guide.pdf" TargetMode="External"/><Relationship Id="rId23" Type="http://schemas.openxmlformats.org/officeDocument/2006/relationships/hyperlink" Target="https://www.ncbi.nlm.nih.gov/books/NBK1313/" TargetMode="External"/><Relationship Id="rId119" Type="http://schemas.openxmlformats.org/officeDocument/2006/relationships/hyperlink" Target="https://medlineplus.gov/genetics/condition/pyruvate-kinase-deficiency/" TargetMode="External"/><Relationship Id="rId44" Type="http://schemas.openxmlformats.org/officeDocument/2006/relationships/hyperlink" Target="https://www.keionline.org/wp-content/uploads/2018/03/Juxtapid-Failure2disclose-Daniel-Rader-19Mar2018.pdf" TargetMode="External"/><Relationship Id="rId65" Type="http://schemas.openxmlformats.org/officeDocument/2006/relationships/hyperlink" Target="https://www.rocketpharma.com/lad-i-clinical-trial-for-health-care-providers/" TargetMode="External"/><Relationship Id="rId86" Type="http://schemas.openxmlformats.org/officeDocument/2006/relationships/hyperlink" Target="https://medlineplus.gov/genetics/condition/mucopolysaccharidosis-type-iii/" TargetMode="External"/><Relationship Id="rId130" Type="http://schemas.openxmlformats.org/officeDocument/2006/relationships/hyperlink" Target="https://www.nature.com/articles/gene201116" TargetMode="External"/><Relationship Id="rId151" Type="http://schemas.openxmlformats.org/officeDocument/2006/relationships/hyperlink" Target="https://www.azuravascularcare.com/infopad/diabetic-foot-amputation-stats/" TargetMode="External"/><Relationship Id="rId172" Type="http://schemas.openxmlformats.org/officeDocument/2006/relationships/hyperlink" Target="https://medlineplus.gov/genetics/condition/choroideremia/" TargetMode="External"/><Relationship Id="rId193" Type="http://schemas.openxmlformats.org/officeDocument/2006/relationships/hyperlink" Target="https://www.drugs.com/price-guide/" TargetMode="External"/><Relationship Id="rId207" Type="http://schemas.openxmlformats.org/officeDocument/2006/relationships/hyperlink" Target="https://link.springer.com/article/10.1007/s12325-018-0775-0/tables/1" TargetMode="External"/><Relationship Id="rId13" Type="http://schemas.openxmlformats.org/officeDocument/2006/relationships/hyperlink" Target="https://www.advisory.com/daily-briefing/2019/10/28/cf-drug" TargetMode="External"/><Relationship Id="rId109" Type="http://schemas.openxmlformats.org/officeDocument/2006/relationships/hyperlink" Target="https://medlineplus.gov/genetics/condition/parkinson-disease/" TargetMode="External"/><Relationship Id="rId34" Type="http://schemas.openxmlformats.org/officeDocument/2006/relationships/hyperlink" Target="https://www.evaluate.com/vantage/articles/news/hemlibra-shows-it-cheaper-and-better" TargetMode="External"/><Relationship Id="rId55" Type="http://schemas.openxmlformats.org/officeDocument/2006/relationships/hyperlink" Target="http://icer-review.org/wp-content/uploads/2016/01/Costs-PCI-CABG-DM-CAD-March-2013.pdf" TargetMode="External"/><Relationship Id="rId76" Type="http://schemas.openxmlformats.org/officeDocument/2006/relationships/hyperlink" Target="https://medlineplus.gov/genetics/condition/methylmalonic-acidemia/" TargetMode="External"/><Relationship Id="rId97" Type="http://schemas.openxmlformats.org/officeDocument/2006/relationships/hyperlink" Target="https://www.ncbi.nlm.nih.gov/books/NBK430837/" TargetMode="External"/><Relationship Id="rId120" Type="http://schemas.openxmlformats.org/officeDocument/2006/relationships/hyperlink" Target="https://medlineplus.gov/genetics/condition/retinitis-pigmentosa/" TargetMode="External"/><Relationship Id="rId141" Type="http://schemas.openxmlformats.org/officeDocument/2006/relationships/hyperlink" Target="https://www.ncbi.nlm.nih.gov/books/NBK537328/" TargetMode="External"/><Relationship Id="rId7" Type="http://schemas.openxmlformats.org/officeDocument/2006/relationships/hyperlink" Target="https://www.ajmc.com/view/economic-burden-limiting-proper-healthcare-delivery-management-and-improvement-of-patient-outcomes" TargetMode="External"/><Relationship Id="rId162" Type="http://schemas.openxmlformats.org/officeDocument/2006/relationships/hyperlink" Target="https://medlineplus.gov/genetics/condition/friedreich-ataxia/" TargetMode="External"/><Relationship Id="rId183" Type="http://schemas.openxmlformats.org/officeDocument/2006/relationships/hyperlink" Target="https://medlineplus.gov/genetics/condition/fragile-x-syndrome/" TargetMode="External"/><Relationship Id="rId218" Type="http://schemas.openxmlformats.org/officeDocument/2006/relationships/hyperlink" Target="https://www.ncbi.nlm.nih.gov/books/NBK1337/" TargetMode="External"/><Relationship Id="rId24" Type="http://schemas.openxmlformats.org/officeDocument/2006/relationships/hyperlink" Target="https://fabrydiseasenews.com/fabry-disease-life-expectancy/" TargetMode="External"/><Relationship Id="rId45" Type="http://schemas.openxmlformats.org/officeDocument/2006/relationships/hyperlink" Target="https://www.wellrx.com/prescriptions/juxtapid/" TargetMode="External"/><Relationship Id="rId66" Type="http://schemas.openxmlformats.org/officeDocument/2006/relationships/hyperlink" Target="https://www.ncbi.nlm.nih.gov/books/NBK539770/" TargetMode="External"/><Relationship Id="rId87" Type="http://schemas.openxmlformats.org/officeDocument/2006/relationships/hyperlink" Target="https://reference.medscape.com/drug/vimizim-elosulfase-alfa-999909" TargetMode="External"/><Relationship Id="rId110" Type="http://schemas.openxmlformats.org/officeDocument/2006/relationships/hyperlink" Target="https://www.healthline.com/health/pemphigus-vulgaris" TargetMode="External"/><Relationship Id="rId131" Type="http://schemas.openxmlformats.org/officeDocument/2006/relationships/hyperlink" Target="https://ghr.nlm.nih.gov/condition/x-linked-severe-combined-immunodeficiency" TargetMode="External"/><Relationship Id="rId152" Type="http://schemas.openxmlformats.org/officeDocument/2006/relationships/hyperlink" Target="https://medlineplus.gov/genetics/condition/achromatopsia/" TargetMode="External"/><Relationship Id="rId173" Type="http://schemas.openxmlformats.org/officeDocument/2006/relationships/hyperlink" Target="https://medlineplus.gov/genetics/condition/crigler-najjar-syndrome/" TargetMode="External"/><Relationship Id="rId194" Type="http://schemas.openxmlformats.org/officeDocument/2006/relationships/hyperlink" Target="https://reference.medscape.com/drug/" TargetMode="External"/><Relationship Id="rId208" Type="http://schemas.openxmlformats.org/officeDocument/2006/relationships/hyperlink" Target="https://www.goodrx.com/anti-epileptics" TargetMode="External"/><Relationship Id="rId14" Type="http://schemas.openxmlformats.org/officeDocument/2006/relationships/hyperlink" Target="https://khn.org/news/the-high-cost-of-hope-when-the-parallel-interests-of-pharma-and-families-collide/" TargetMode="External"/><Relationship Id="rId35" Type="http://schemas.openxmlformats.org/officeDocument/2006/relationships/hyperlink" Target="https://www.ncbi.nlm.nih.gov/pmc/articles/PMC3208966/" TargetMode="External"/><Relationship Id="rId56" Type="http://schemas.openxmlformats.org/officeDocument/2006/relationships/hyperlink" Target="https://www.medscape.com/answers/155919-15097/what-is-the-prognosis-of-acute-myocardial-infarction-mi-heart-attack" TargetMode="External"/><Relationship Id="rId77" Type="http://schemas.openxmlformats.org/officeDocument/2006/relationships/hyperlink" Target="https://www.orpha.net/consor/www/cgi-bin/OC_Exp.php?lng=EN&amp;Expert=27" TargetMode="External"/><Relationship Id="rId100" Type="http://schemas.openxmlformats.org/officeDocument/2006/relationships/hyperlink" Target="https://www.fiercepharma.com/pharma/top-20-most-expensive-drugs-2018-featuring-names-big-and-small" TargetMode="External"/><Relationship Id="rId8" Type="http://schemas.openxmlformats.org/officeDocument/2006/relationships/hyperlink" Target="https://www.ncbi.nlm.nih.gov/pmc/articles/PMC5686625/" TargetMode="External"/><Relationship Id="rId51" Type="http://schemas.openxmlformats.org/officeDocument/2006/relationships/hyperlink" Target="https://link.springer.com/article/10.1007/s40801-020-00183-x" TargetMode="External"/><Relationship Id="rId72" Type="http://schemas.openxmlformats.org/officeDocument/2006/relationships/hyperlink" Target="https://www.webmd.com/eye-health/macular-degeneration/wet-amd-signs-symptoms" TargetMode="External"/><Relationship Id="rId93" Type="http://schemas.openxmlformats.org/officeDocument/2006/relationships/hyperlink" Target="https://ghr.nlm.nih.gov/condition/spinal-muscular-atrophy" TargetMode="External"/><Relationship Id="rId98" Type="http://schemas.openxmlformats.org/officeDocument/2006/relationships/hyperlink" Target="https://www.niddk.nih.gov/health-information/diabetes/overview/preventing-problems/nerve-damage-diabetic-neuropathies" TargetMode="External"/><Relationship Id="rId121" Type="http://schemas.openxmlformats.org/officeDocument/2006/relationships/hyperlink" Target="https://medlineplus.gov/genetics/condition/retinitis-pigmentosa/" TargetMode="External"/><Relationship Id="rId142" Type="http://schemas.openxmlformats.org/officeDocument/2006/relationships/hyperlink" Target="https://medlineplus.gov/genetics/condition/wiskott-aldrich-syndrome/" TargetMode="External"/><Relationship Id="rId163" Type="http://schemas.openxmlformats.org/officeDocument/2006/relationships/hyperlink" Target="https://medlineplus.gov/genetics/condition/spinal-and-bulbar-muscular-atrophy/" TargetMode="External"/><Relationship Id="rId184" Type="http://schemas.openxmlformats.org/officeDocument/2006/relationships/hyperlink" Target="https://medlineplus.gov/genetics/condition/glycogen-storage-disease-type-i/" TargetMode="External"/><Relationship Id="rId189" Type="http://schemas.openxmlformats.org/officeDocument/2006/relationships/hyperlink" Target="https://www.ncbi.nlm.nih.gov/books/NBK1283/" TargetMode="External"/><Relationship Id="rId219" Type="http://schemas.openxmlformats.org/officeDocument/2006/relationships/hyperlink" Target="https://www.ncbi.nlm.nih.gov/books/NBK99496/" TargetMode="External"/><Relationship Id="rId3" Type="http://schemas.openxmlformats.org/officeDocument/2006/relationships/hyperlink" Target="https://www.hindawi.com/journals/ijpedi/2018/1739831/" TargetMode="External"/><Relationship Id="rId214" Type="http://schemas.openxmlformats.org/officeDocument/2006/relationships/hyperlink" Target="https://www.ncbi.nlm.nih.gov/books/NBK1363/" TargetMode="External"/><Relationship Id="rId25" Type="http://schemas.openxmlformats.org/officeDocument/2006/relationships/hyperlink" Target="https://www.ncbi.nlm.nih.gov/books/NBK534700/" TargetMode="External"/><Relationship Id="rId46" Type="http://schemas.openxmlformats.org/officeDocument/2006/relationships/hyperlink" Target="https://www.ahip.org/wp-content/uploads/2016/04/HighPriceDrugsReport.pdf" TargetMode="External"/><Relationship Id="rId67" Type="http://schemas.openxmlformats.org/officeDocument/2006/relationships/hyperlink" Target="https://ghr.nlm.nih.gov/condition/metachromatic-leukodystrophy" TargetMode="External"/><Relationship Id="rId116" Type="http://schemas.openxmlformats.org/officeDocument/2006/relationships/hyperlink" Target="https://www.ncbi.nlm.nih.gov/pmc/articles/PMC1994028/" TargetMode="External"/><Relationship Id="rId137" Type="http://schemas.openxmlformats.org/officeDocument/2006/relationships/hyperlink" Target="https://medlineplus.gov/genetics/condition/beta-thalassemia/" TargetMode="External"/><Relationship Id="rId158" Type="http://schemas.openxmlformats.org/officeDocument/2006/relationships/hyperlink" Target="https://medlineplus.gov/genetics/condition/alzheimer-disease/" TargetMode="External"/><Relationship Id="rId20" Type="http://schemas.openxmlformats.org/officeDocument/2006/relationships/hyperlink" Target="https://icer-review.org/wp-content/uploads/2018/12/ICER_DMD_Evidence_Presentation_072519-x1Aug2017-1-2.pdf" TargetMode="External"/><Relationship Id="rId41" Type="http://schemas.openxmlformats.org/officeDocument/2006/relationships/hyperlink" Target="https://www.ncbi.nlm.nih.gov/pmc/articles/PMC5780543/" TargetMode="External"/><Relationship Id="rId62" Type="http://schemas.openxmlformats.org/officeDocument/2006/relationships/hyperlink" Target="https://www.ahajournals.org/doi/pdf/10.1161/STROKEAHA.117.017199" TargetMode="External"/><Relationship Id="rId83" Type="http://schemas.openxmlformats.org/officeDocument/2006/relationships/hyperlink" Target="http://www.elaprase.com/hcp/dosing-administration" TargetMode="External"/><Relationship Id="rId88" Type="http://schemas.openxmlformats.org/officeDocument/2006/relationships/hyperlink" Target="https://medlineplus.gov/genetics/condition/mucopolysaccharidosis-type-iv/" TargetMode="External"/><Relationship Id="rId111" Type="http://schemas.openxmlformats.org/officeDocument/2006/relationships/hyperlink" Target="https://medlineplus.gov/genetics/condition/paroxysmal-nocturnal-hemoglobinuria/" TargetMode="External"/><Relationship Id="rId132" Type="http://schemas.openxmlformats.org/officeDocument/2006/relationships/hyperlink" Target="https://www.ncbi.nlm.nih.gov/pmc/articles/PMC4323700/" TargetMode="External"/><Relationship Id="rId153" Type="http://schemas.openxmlformats.org/officeDocument/2006/relationships/hyperlink" Target="https://icer-review.org/wp-content/uploads/2018/02/ICER_Amyloidosis_Final_Evidence_Report_101718.pdf" TargetMode="External"/><Relationship Id="rId174" Type="http://schemas.openxmlformats.org/officeDocument/2006/relationships/hyperlink" Target="https://medlineplus.gov/genetics/condition/danon-disease/" TargetMode="External"/><Relationship Id="rId179" Type="http://schemas.openxmlformats.org/officeDocument/2006/relationships/hyperlink" Target="https://medlineplus.gov/genetics/condition/grn-related-frontotemporal-lobar-degeneration/" TargetMode="External"/><Relationship Id="rId195" Type="http://schemas.openxmlformats.org/officeDocument/2006/relationships/hyperlink" Target="https://medlineplus.gov/genetics/condition/atopic-dermatitis/" TargetMode="External"/><Relationship Id="rId209" Type="http://schemas.openxmlformats.org/officeDocument/2006/relationships/hyperlink" Target="http://www.neurosurgeryresident.net/E.%20Epilepsy%20and%20Seizures/E25.%20RNS.pdf" TargetMode="External"/><Relationship Id="rId190" Type="http://schemas.openxmlformats.org/officeDocument/2006/relationships/hyperlink" Target="https://www.ncbi.nlm.nih.gov/books/NBK1305/" TargetMode="External"/><Relationship Id="rId204" Type="http://schemas.openxmlformats.org/officeDocument/2006/relationships/hyperlink" Target="https://www.ncbi.nlm.nih.gov/books/NBK1447/" TargetMode="External"/><Relationship Id="rId220" Type="http://schemas.openxmlformats.org/officeDocument/2006/relationships/hyperlink" Target="https://www.ncbi.nlm.nih.gov/books/NBK1458/" TargetMode="External"/><Relationship Id="rId15" Type="http://schemas.openxmlformats.org/officeDocument/2006/relationships/hyperlink" Target="https://www.webmd.com/children/understanding-muscular-dystrophy-basics" TargetMode="External"/><Relationship Id="rId36" Type="http://schemas.openxmlformats.org/officeDocument/2006/relationships/hyperlink" Target="https://www.medscape.com/viewarticle/879422" TargetMode="External"/><Relationship Id="rId57" Type="http://schemas.openxmlformats.org/officeDocument/2006/relationships/hyperlink" Target="https://ghr.nlm.nih.gov/condition/atypical-hemolytic-uremic-syndrome" TargetMode="External"/><Relationship Id="rId106" Type="http://schemas.openxmlformats.org/officeDocument/2006/relationships/hyperlink" Target="https://www.fiercebiotech.com/medical-devices/medtronic-touts-its-upgraded-wearable-neurostimulator-to-evaluate-overactive" TargetMode="External"/><Relationship Id="rId127" Type="http://schemas.openxmlformats.org/officeDocument/2006/relationships/hyperlink" Target="https://rarediseases.org/rare-diseases/severe-combined-immunodeficiency/" TargetMode="External"/><Relationship Id="rId10" Type="http://schemas.openxmlformats.org/officeDocument/2006/relationships/hyperlink" Target="https://professionals.optumrx.com/content/dam/optum3/professional-optumrx/news/rxnews/drug-approvals/drugapprovals_brineura_2017-0428.pdf" TargetMode="External"/><Relationship Id="rId31" Type="http://schemas.openxmlformats.org/officeDocument/2006/relationships/hyperlink" Target="http://www.pmprb-cepmb.gc.ca/view.asp?ccid=632" TargetMode="External"/><Relationship Id="rId52" Type="http://schemas.openxmlformats.org/officeDocument/2006/relationships/hyperlink" Target="https://payorsolutions.cvshealth.com/insights/new-horizons-for-pah-treatments" TargetMode="External"/><Relationship Id="rId73" Type="http://schemas.openxmlformats.org/officeDocument/2006/relationships/hyperlink" Target="https://www.webmd.com/eye-health/macular-degeneration/wet-amd-treatments" TargetMode="External"/><Relationship Id="rId78" Type="http://schemas.openxmlformats.org/officeDocument/2006/relationships/hyperlink" Target="https://www.rxlist.com/aldurazyme-drug.htm" TargetMode="External"/><Relationship Id="rId94" Type="http://schemas.openxmlformats.org/officeDocument/2006/relationships/hyperlink" Target="https://rarediseases.org/rare-diseases/x-linked-myotubular-myopathy/" TargetMode="External"/><Relationship Id="rId99" Type="http://schemas.openxmlformats.org/officeDocument/2006/relationships/hyperlink" Target="https://medlineplus.gov/genetics/condition/niemann-pick-disease/" TargetMode="External"/><Relationship Id="rId101" Type="http://schemas.openxmlformats.org/officeDocument/2006/relationships/hyperlink" Target="https://medlineplus.gov/genetics/condition/ornithine-transcarbamylase-deficiency/" TargetMode="External"/><Relationship Id="rId122" Type="http://schemas.openxmlformats.org/officeDocument/2006/relationships/hyperlink" Target="https://ghr.nlm.nih.gov/condition/x-linked-juvenile-retinoschisis" TargetMode="External"/><Relationship Id="rId143" Type="http://schemas.openxmlformats.org/officeDocument/2006/relationships/hyperlink" Target="https://medlineplus.gov/genetics/condition/wilson-disease/" TargetMode="External"/><Relationship Id="rId148" Type="http://schemas.openxmlformats.org/officeDocument/2006/relationships/hyperlink" Target="https://www.ncbi.nlm.nih.gov/pmc/articles/PMC2903966/" TargetMode="External"/><Relationship Id="rId164" Type="http://schemas.openxmlformats.org/officeDocument/2006/relationships/hyperlink" Target="https://medlineplus.gov/genetics/condition/spinocerebellar-ataxia-type-3/" TargetMode="External"/><Relationship Id="rId169" Type="http://schemas.openxmlformats.org/officeDocument/2006/relationships/hyperlink" Target="https://link.springer.com/article/10.1007/s10741-019-09899-7" TargetMode="External"/><Relationship Id="rId185" Type="http://schemas.openxmlformats.org/officeDocument/2006/relationships/hyperlink" Target="https://medlineplus.gov/genetics/condition/pompe-disease/" TargetMode="External"/><Relationship Id="rId4" Type="http://schemas.openxmlformats.org/officeDocument/2006/relationships/hyperlink" Target="https://www.orpha.net/consor/cgi-bin/OC_Exp.php?Expert=43" TargetMode="External"/><Relationship Id="rId9" Type="http://schemas.openxmlformats.org/officeDocument/2006/relationships/hyperlink" Target="https://www.milliman.com/en/Insight/2017-US-organ-and-tissue-transplant-cost-estimates-and-discussion" TargetMode="External"/><Relationship Id="rId180" Type="http://schemas.openxmlformats.org/officeDocument/2006/relationships/hyperlink" Target="https://www.webmd.com/alzheimers/guide/frontotemporal-dementia" TargetMode="External"/><Relationship Id="rId210" Type="http://schemas.openxmlformats.org/officeDocument/2006/relationships/hyperlink" Target="https://n.neurology.org/content/95/10/e1404/tab-figures-data" TargetMode="External"/><Relationship Id="rId215" Type="http://schemas.openxmlformats.org/officeDocument/2006/relationships/hyperlink" Target="https://www.ncbi.nlm.nih.gov/pmc/articles/PMC4567481/" TargetMode="External"/><Relationship Id="rId26" Type="http://schemas.openxmlformats.org/officeDocument/2006/relationships/hyperlink" Target="https://www.fiercepharma.com/pharma/top-20-most-expensive-drugs-2018-featuring-names-big-and-small" TargetMode="External"/><Relationship Id="rId47" Type="http://schemas.openxmlformats.org/officeDocument/2006/relationships/hyperlink" Target="https://icer-review.org/wp-content/uploads/2018/11/HAE-RAAG_111518.pdf" TargetMode="External"/><Relationship Id="rId68" Type="http://schemas.openxmlformats.org/officeDocument/2006/relationships/hyperlink" Target="https://rarediseases.org/rare-diseases/leukodystrophy-krabbes/" TargetMode="External"/><Relationship Id="rId89" Type="http://schemas.openxmlformats.org/officeDocument/2006/relationships/hyperlink" Target="https://medlineplus.gov/genetics/condition/multiple-sclerosis/" TargetMode="External"/><Relationship Id="rId112" Type="http://schemas.openxmlformats.org/officeDocument/2006/relationships/hyperlink" Target="https://pubmed.ncbi.nlm.nih.gov/22266247/" TargetMode="External"/><Relationship Id="rId133" Type="http://schemas.openxmlformats.org/officeDocument/2006/relationships/hyperlink" Target="https://pubmed.ncbi.nlm.nih.gov/9002014/" TargetMode="External"/><Relationship Id="rId154" Type="http://schemas.openxmlformats.org/officeDocument/2006/relationships/hyperlink" Target="https://medlineplus.gov/genetics/condition/amyotrophic-lateral-sclerosis/" TargetMode="External"/><Relationship Id="rId175" Type="http://schemas.openxmlformats.org/officeDocument/2006/relationships/hyperlink" Target="https://medlineplus.gov/genetics/condition/dementia-with-lewy-bodies/" TargetMode="External"/><Relationship Id="rId196" Type="http://schemas.openxmlformats.org/officeDocument/2006/relationships/hyperlink" Target="https://medlineplus.gov/genetics/condition/sjogren-syndrome/" TargetMode="External"/><Relationship Id="rId200" Type="http://schemas.openxmlformats.org/officeDocument/2006/relationships/hyperlink" Target="https://www.milliman.com/en/Insight/2017-US-organ-and-tissue-transplant-cost-estimates-and-discussion" TargetMode="External"/><Relationship Id="rId16" Type="http://schemas.openxmlformats.org/officeDocument/2006/relationships/hyperlink" Target="https://www.ncbi.nlm.nih.gov/books/NBK97333/" TargetMode="External"/><Relationship Id="rId221" Type="http://schemas.openxmlformats.org/officeDocument/2006/relationships/hyperlink" Target="https://www.statpearls.com/ArticleLibrary/viewarticle/20123" TargetMode="External"/><Relationship Id="rId37" Type="http://schemas.openxmlformats.org/officeDocument/2006/relationships/hyperlink" Target="https://health.costhelper.com/cochlear-implant.html" TargetMode="External"/><Relationship Id="rId58" Type="http://schemas.openxmlformats.org/officeDocument/2006/relationships/hyperlink" Target="https://www.ncbi.nlm.nih.gov/books/NBK459269/" TargetMode="External"/><Relationship Id="rId79" Type="http://schemas.openxmlformats.org/officeDocument/2006/relationships/hyperlink" Target="https://www.drugs.com/price-guide/aldurazyme" TargetMode="External"/><Relationship Id="rId102" Type="http://schemas.openxmlformats.org/officeDocument/2006/relationships/hyperlink" Target="https://www.pharmaceutical-technology.com/features/most-expensive-drugs-us/" TargetMode="External"/><Relationship Id="rId123" Type="http://schemas.openxmlformats.org/officeDocument/2006/relationships/hyperlink" Target="https://medlineplus.gov/genetics/condition/rett-syndrome/" TargetMode="External"/><Relationship Id="rId144" Type="http://schemas.openxmlformats.org/officeDocument/2006/relationships/hyperlink" Target="https://www.mayoclinic.org/diseases-conditions/wilsons-disease/diagnosis-treatment/drc-20353256" TargetMode="External"/><Relationship Id="rId90" Type="http://schemas.openxmlformats.org/officeDocument/2006/relationships/hyperlink" Target="https://www.mayoclinic.org/diseases-conditions/multiple-sclerosis/diagnosis-treatment/drc-20350274" TargetMode="External"/><Relationship Id="rId165" Type="http://schemas.openxmlformats.org/officeDocument/2006/relationships/hyperlink" Target="https://medlineplus.gov/genetics/condition/bardet-biedl-syndrome/" TargetMode="External"/><Relationship Id="rId186" Type="http://schemas.openxmlformats.org/officeDocument/2006/relationships/hyperlink" Target="https://medlineplus.gov/genetics/condition/gm1-gangliosidosis/" TargetMode="External"/><Relationship Id="rId211" Type="http://schemas.openxmlformats.org/officeDocument/2006/relationships/hyperlink" Target="https://pubmed.ncbi.nlm.nih.gov/26138748/" TargetMode="External"/><Relationship Id="rId27" Type="http://schemas.openxmlformats.org/officeDocument/2006/relationships/hyperlink" Target="https://www.ahip.org/wp-content/uploads/2016/04/HighPriceDrugsReport.pdf" TargetMode="External"/><Relationship Id="rId48" Type="http://schemas.openxmlformats.org/officeDocument/2006/relationships/hyperlink" Target="https://www.medscape.com/viewarticle/809475_3" TargetMode="External"/><Relationship Id="rId69" Type="http://schemas.openxmlformats.org/officeDocument/2006/relationships/hyperlink" Target="https://ghr.nlm.nih.gov/condition/systemic-lupus-erythematosus" TargetMode="External"/><Relationship Id="rId113" Type="http://schemas.openxmlformats.org/officeDocument/2006/relationships/hyperlink" Target="https://bmccardiovascdisord.biomedcentral.com/articles/10.1186/1471-2261-5-14" TargetMode="External"/><Relationship Id="rId134" Type="http://schemas.openxmlformats.org/officeDocument/2006/relationships/hyperlink" Target="https://pubmed.ncbi.nlm.nih.gov/12695134/" TargetMode="External"/><Relationship Id="rId80" Type="http://schemas.openxmlformats.org/officeDocument/2006/relationships/hyperlink" Target="https://medlineplus.gov/genetics/condition/mucopolysaccharidosis-type-i/" TargetMode="External"/><Relationship Id="rId155" Type="http://schemas.openxmlformats.org/officeDocument/2006/relationships/hyperlink" Target="https://medlineplus.gov/genetics/condition/angelman-syndrome/" TargetMode="External"/><Relationship Id="rId176" Type="http://schemas.openxmlformats.org/officeDocument/2006/relationships/hyperlink" Target="https://medlineplus.gov/genetics/condition/type-1-diabetes/" TargetMode="External"/><Relationship Id="rId197" Type="http://schemas.openxmlformats.org/officeDocument/2006/relationships/hyperlink" Target="https://www.aans.org/Patients/Neurosurgical-Conditions-and-Treatments/Traumatic-Brain-Injury" TargetMode="External"/><Relationship Id="rId201" Type="http://schemas.openxmlformats.org/officeDocument/2006/relationships/hyperlink" Target="https://www.pharmaceutical-technology.com/features/most-expensive-drugs-us/" TargetMode="External"/><Relationship Id="rId17" Type="http://schemas.openxmlformats.org/officeDocument/2006/relationships/hyperlink" Target="https://www.ncbi.nlm.nih.gov/books/NBK1119/" TargetMode="External"/><Relationship Id="rId38" Type="http://schemas.openxmlformats.org/officeDocument/2006/relationships/hyperlink" Target="https://health.costhelper.com/knee-replacement.html" TargetMode="External"/><Relationship Id="rId59" Type="http://schemas.openxmlformats.org/officeDocument/2006/relationships/hyperlink" Target="https://www.statista.com/statistics/189966/cost-of-a-heart-bypass-in-various-countries/" TargetMode="External"/><Relationship Id="rId103" Type="http://schemas.openxmlformats.org/officeDocument/2006/relationships/hyperlink" Target="https://ojrd.biomedcentral.com/articles/10.1186/s13023-015-0266-1" TargetMode="External"/><Relationship Id="rId124" Type="http://schemas.openxmlformats.org/officeDocument/2006/relationships/hyperlink" Target="https://www.ncbi.nlm.nih.gov/pmc/articles/PMC4066461/" TargetMode="External"/><Relationship Id="rId70" Type="http://schemas.openxmlformats.org/officeDocument/2006/relationships/hyperlink" Target="https://www.nei.nih.gov/learn-about-eye-health/eye-conditions-and-diseases/stargardt-disease" TargetMode="External"/><Relationship Id="rId91" Type="http://schemas.openxmlformats.org/officeDocument/2006/relationships/hyperlink" Target="https://medlineplus.gov/genetics/condition/multiple-system-atrophy/" TargetMode="External"/><Relationship Id="rId145" Type="http://schemas.openxmlformats.org/officeDocument/2006/relationships/hyperlink" Target="https://www.statpearls.com/kb/viewarticle/31375" TargetMode="External"/><Relationship Id="rId166" Type="http://schemas.openxmlformats.org/officeDocument/2006/relationships/hyperlink" Target="https://medlineplus.gov/genetics/condition/bietti-crystalline-dystrophy/" TargetMode="External"/><Relationship Id="rId187" Type="http://schemas.openxmlformats.org/officeDocument/2006/relationships/hyperlink" Target="https://medlineplus.gov/genetics/condition/tay-sachs-disease/" TargetMode="External"/><Relationship Id="rId1" Type="http://schemas.openxmlformats.org/officeDocument/2006/relationships/hyperlink" Target="https://www.sciencedirect.com/science/article/abs/pii/S1878875016313894?via%3Dihub" TargetMode="External"/><Relationship Id="rId212" Type="http://schemas.openxmlformats.org/officeDocument/2006/relationships/hyperlink" Target="https://www.ncbi.nlm.nih.gov/books/NBK1333/" TargetMode="External"/><Relationship Id="rId28" Type="http://schemas.openxmlformats.org/officeDocument/2006/relationships/hyperlink" Target="https://www.mayoclinic.org/medical-professionals/ophthalmology/news/incidence-and-probability-of-progression-to-blindness-due-to-open-angle-glaucoma-decreases-dramatically/mac-20430155" TargetMode="External"/><Relationship Id="rId49" Type="http://schemas.openxmlformats.org/officeDocument/2006/relationships/hyperlink" Target="https://www.jnj.com/health-and-wellness/5-things-we-now-know-about-pulmonary-arterial-hypertension" TargetMode="External"/><Relationship Id="rId114" Type="http://schemas.openxmlformats.org/officeDocument/2006/relationships/hyperlink" Target="https://www.healthline.com/health/peripheral-vascular-disease" TargetMode="External"/><Relationship Id="rId60" Type="http://schemas.openxmlformats.org/officeDocument/2006/relationships/hyperlink" Target="https://www.ahajournals.org/doi/abs/10.1161/circoutcomes.8.suppl_2.208" TargetMode="External"/><Relationship Id="rId81" Type="http://schemas.openxmlformats.org/officeDocument/2006/relationships/hyperlink" Target="https://www.drugs.com/price-guide/elaprase" TargetMode="External"/><Relationship Id="rId135" Type="http://schemas.openxmlformats.org/officeDocument/2006/relationships/hyperlink" Target="https://www.sciencedirect.com/science/article/abs/pii/S0146000515000257?via%3Dihub" TargetMode="External"/><Relationship Id="rId156" Type="http://schemas.openxmlformats.org/officeDocument/2006/relationships/hyperlink" Target="https://www.ncbi.nlm.nih.gov/pmc/articles/PMC6067408/" TargetMode="External"/><Relationship Id="rId177" Type="http://schemas.openxmlformats.org/officeDocument/2006/relationships/hyperlink" Target="https://medlineplus.gov/genetics/condition/type-2-diabetes/" TargetMode="External"/><Relationship Id="rId198" Type="http://schemas.openxmlformats.org/officeDocument/2006/relationships/hyperlink" Target="https://www.ncbi.nlm.nih.gov/pmc/articles/PMC4160670/" TargetMode="External"/><Relationship Id="rId202" Type="http://schemas.openxmlformats.org/officeDocument/2006/relationships/hyperlink" Target="https://josr-online.biomedcentral.com/articles/10.1186/s13018-020-01848-7/tables/3" TargetMode="External"/><Relationship Id="rId18" Type="http://schemas.openxmlformats.org/officeDocument/2006/relationships/hyperlink" Target="https://www.pharmaceutical-technology.com/features/most-expensive-drugs-us/" TargetMode="External"/><Relationship Id="rId39" Type="http://schemas.openxmlformats.org/officeDocument/2006/relationships/hyperlink" Target="https://www.texasheart.org/heart-health/heart-information-center/topics/inotropic-agents/" TargetMode="External"/><Relationship Id="rId50" Type="http://schemas.openxmlformats.org/officeDocument/2006/relationships/hyperlink" Target="https://en.wikipedia.org/wiki/Hyperphenylalaninemia" TargetMode="External"/><Relationship Id="rId104" Type="http://schemas.openxmlformats.org/officeDocument/2006/relationships/hyperlink" Target="https://medlineplus.gov/genetics/condition/osteopetrosis/" TargetMode="External"/><Relationship Id="rId125" Type="http://schemas.openxmlformats.org/officeDocument/2006/relationships/hyperlink" Target="https://www.ncbi.nlm.nih.gov/pmc/articles/PMC6351669/" TargetMode="External"/><Relationship Id="rId146" Type="http://schemas.openxmlformats.org/officeDocument/2006/relationships/hyperlink" Target="https://ojrd.biomedcentral.com/articles/10.1186/s13023-017-0587-3" TargetMode="External"/><Relationship Id="rId167" Type="http://schemas.openxmlformats.org/officeDocument/2006/relationships/hyperlink" Target="https://medlineplus.gov/genetics/condition/canavan-disease/" TargetMode="External"/><Relationship Id="rId188" Type="http://schemas.openxmlformats.org/officeDocument/2006/relationships/hyperlink" Target="https://medlineplus.gov/genetics/condition/primary-hyperoxaluria/" TargetMode="External"/><Relationship Id="rId71" Type="http://schemas.openxmlformats.org/officeDocument/2006/relationships/hyperlink" Target="https://rarediseases.org/rare-diseases/best-vitelliform-macular-dystrophy/" TargetMode="External"/><Relationship Id="rId92" Type="http://schemas.openxmlformats.org/officeDocument/2006/relationships/hyperlink" Target="https://www.thieme-connect.de/products/ejournals/abstract/10.1055/s-0034-1381737" TargetMode="External"/><Relationship Id="rId213" Type="http://schemas.openxmlformats.org/officeDocument/2006/relationships/hyperlink" Target="https://www.ncbi.nlm.nih.gov/books/NBK1281/" TargetMode="External"/><Relationship Id="rId2" Type="http://schemas.openxmlformats.org/officeDocument/2006/relationships/hyperlink" Target="https://combigene.com/en/the-market-for-epilepsy/" TargetMode="External"/><Relationship Id="rId29" Type="http://schemas.openxmlformats.org/officeDocument/2006/relationships/hyperlink" Target="https://www.ncbi.nlm.nih.gov/pmc/articles/PMC6604230/" TargetMode="External"/><Relationship Id="rId40" Type="http://schemas.openxmlformats.org/officeDocument/2006/relationships/hyperlink" Target="https://www.milliman.com/en/Insight/2017-US-organ-and-tissue-transplant-cost-estimates-and-discussion" TargetMode="External"/><Relationship Id="rId115" Type="http://schemas.openxmlformats.org/officeDocument/2006/relationships/hyperlink" Target="https://www.ahajournals.org/doi/full/10.1161/CIRCINTERVENTIONS.115.001946" TargetMode="External"/><Relationship Id="rId136" Type="http://schemas.openxmlformats.org/officeDocument/2006/relationships/hyperlink" Target="https://icer-review.org/wp-content/uploads/2019/08/ICER_SCD_MAP_112119.pdf" TargetMode="External"/><Relationship Id="rId157" Type="http://schemas.openxmlformats.org/officeDocument/2006/relationships/hyperlink" Target="https://medlineplus.gov/genetics/condition/aromatic-l-amino-acid-decarboxylase-deficiency/" TargetMode="External"/><Relationship Id="rId178" Type="http://schemas.openxmlformats.org/officeDocument/2006/relationships/hyperlink" Target="https://medlineplus.gov/genetics/condition/frontotemporal-dementia-with-parkinsonism-17/" TargetMode="External"/><Relationship Id="rId61" Type="http://schemas.openxmlformats.org/officeDocument/2006/relationships/hyperlink" Target="https://www.ncbi.nlm.nih.gov/pmc/articles/PMC2669322/" TargetMode="External"/><Relationship Id="rId82" Type="http://schemas.openxmlformats.org/officeDocument/2006/relationships/hyperlink" Target="https://pharmaoffer.com/blog/show/10-most-expensive-drugs-in-the-world" TargetMode="External"/><Relationship Id="rId199" Type="http://schemas.openxmlformats.org/officeDocument/2006/relationships/hyperlink" Target="https://www.ncbi.nlm.nih.gov/pmc/articles/PMC4325830/" TargetMode="External"/><Relationship Id="rId203" Type="http://schemas.openxmlformats.org/officeDocument/2006/relationships/hyperlink" Target="https://www.ncbi.nlm.nih.gov/pmc/articles/PMC6373584/" TargetMode="External"/><Relationship Id="rId19" Type="http://schemas.openxmlformats.org/officeDocument/2006/relationships/hyperlink" Target="https://www.fiercepharma.com/pharma/want-bang-for-your-buck-don-t-look-to-sarepta-s-pricey-dmd-therapy-exondys-icer-says" TargetMode="External"/><Relationship Id="rId30" Type="http://schemas.openxmlformats.org/officeDocument/2006/relationships/hyperlink" Target="http://www.visionproblemsus.org/glaucoma/glaucoma-map.html" TargetMode="External"/><Relationship Id="rId105" Type="http://schemas.openxmlformats.org/officeDocument/2006/relationships/hyperlink" Target="https://link.springer.com/article/10.1007%2Fs11934-017-0739-y" TargetMode="External"/><Relationship Id="rId126" Type="http://schemas.openxmlformats.org/officeDocument/2006/relationships/hyperlink" Target="https://medlineplus.gov/genetics/condition/adenosine-deaminase-deficiency/" TargetMode="External"/><Relationship Id="rId147" Type="http://schemas.openxmlformats.org/officeDocument/2006/relationships/hyperlink" Target="https://medlineplus.gov/genetics/condition/lysosomal-acid-lipase-deficiency/" TargetMode="External"/><Relationship Id="rId168" Type="http://schemas.openxmlformats.org/officeDocument/2006/relationships/hyperlink" Target="https://www.ncbi.nlm.nih.gov/pmc/articles/PMC6688826/"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newdigs@mit.edu" TargetMode="External"/><Relationship Id="rId1" Type="http://schemas.openxmlformats.org/officeDocument/2006/relationships/hyperlink" Target="mailto:newdigs@mit.edu"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dropbox.com/s/sx9ufdibtwield3/FoCUS%20Individual%20Indication%20Workbook%20Use%20manual%204-2-22.docx?dl=0" TargetMode="Externa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dropbox.com/s/sx9ufdibtwield3/FoCUS%20Individual%20Indication%20Workbook%20Use%20manual%204-2-22.docx?dl=0"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M42"/>
  <sheetViews>
    <sheetView workbookViewId="0">
      <selection activeCell="L18" sqref="L18"/>
    </sheetView>
  </sheetViews>
  <sheetFormatPr baseColWidth="10" defaultColWidth="8.83203125" defaultRowHeight="15"/>
  <cols>
    <col min="1" max="1" width="1.5" style="15" customWidth="1"/>
    <col min="2" max="2" width="19.5" style="15" customWidth="1"/>
    <col min="3" max="3" width="2.5" style="15" customWidth="1"/>
    <col min="4" max="4" width="34.5" style="15" customWidth="1"/>
    <col min="5" max="5" width="25.5" style="15" customWidth="1"/>
    <col min="6" max="6" width="37.5" style="15" customWidth="1"/>
    <col min="7" max="7" width="35" style="15" customWidth="1"/>
    <col min="8" max="8" width="26.5" style="15" customWidth="1"/>
    <col min="9" max="9" width="40.5" style="15" customWidth="1"/>
    <col min="10" max="10" width="28.5" style="15" customWidth="1"/>
    <col min="11" max="11" width="32.5" style="15" customWidth="1"/>
    <col min="12" max="12" width="43.5" style="15" customWidth="1"/>
    <col min="13" max="13" width="37" style="15" customWidth="1"/>
    <col min="14" max="16384" width="8.83203125" style="15"/>
  </cols>
  <sheetData>
    <row r="1" spans="2:13">
      <c r="D1" s="12">
        <f>MAX(3,COUNTIF(D2:D997,"&gt;"&amp;"a")+1)</f>
        <v>20</v>
      </c>
      <c r="E1" s="12">
        <f>MAX(3,COUNTIF(E2:E998,"&gt;"&amp;"a")+1)</f>
        <v>42</v>
      </c>
      <c r="F1" s="12">
        <f>MAX(3,COUNTIF(F2:F996,"&gt;"&amp;"a")+1)</f>
        <v>10</v>
      </c>
      <c r="G1" s="12">
        <f>MAX(3,COUNTIF(G2:G1001,"&gt;"&amp;"a")+1)</f>
        <v>10</v>
      </c>
      <c r="H1" s="12">
        <f>MAX(3,COUNTIF(H2:H999,"&gt;"&amp;"a")+1)</f>
        <v>12</v>
      </c>
      <c r="I1" s="12">
        <f>MAX(3,COUNTIF(I2:I1000,"&gt;"&amp;"a")+1)</f>
        <v>29</v>
      </c>
      <c r="J1" s="12">
        <f>MAX(3,COUNTIF(J2:J1000,"&gt;"&amp;"a")+1)</f>
        <v>9</v>
      </c>
      <c r="K1" s="12">
        <f>MAX(3,COUNTIF(K2:K1000,"&gt;"&amp;"a")+1)</f>
        <v>27</v>
      </c>
      <c r="L1" s="12">
        <f>MAX(3,COUNTIF(L2:L1000,"&gt;"&amp;"a")+1)</f>
        <v>16</v>
      </c>
      <c r="M1" s="12">
        <f>MAX(3,COUNTIF(M2:M1000,"&gt;"&amp;"a")+1)</f>
        <v>21</v>
      </c>
    </row>
    <row r="2" spans="2:13">
      <c r="D2" s="36" t="s">
        <v>46</v>
      </c>
      <c r="E2" s="37" t="s">
        <v>47</v>
      </c>
      <c r="F2" s="37" t="s">
        <v>37</v>
      </c>
      <c r="G2" s="37" t="s">
        <v>48</v>
      </c>
      <c r="H2" s="37" t="s">
        <v>49</v>
      </c>
      <c r="I2" s="37" t="s">
        <v>50</v>
      </c>
      <c r="J2" s="37" t="s">
        <v>36</v>
      </c>
      <c r="K2" s="37" t="s">
        <v>51</v>
      </c>
      <c r="L2" s="37" t="s">
        <v>52</v>
      </c>
      <c r="M2" s="38" t="s">
        <v>53</v>
      </c>
    </row>
    <row r="3" spans="2:13">
      <c r="B3" s="4" t="s">
        <v>196</v>
      </c>
      <c r="C3" s="12"/>
      <c r="D3" s="15" t="s">
        <v>270</v>
      </c>
      <c r="E3" s="15" t="s">
        <v>278</v>
      </c>
      <c r="F3" s="15" t="s">
        <v>198</v>
      </c>
      <c r="G3" s="15" t="s">
        <v>199</v>
      </c>
      <c r="H3" s="15" t="s">
        <v>200</v>
      </c>
      <c r="I3" s="15" t="s">
        <v>710</v>
      </c>
      <c r="J3" s="15" t="s">
        <v>202</v>
      </c>
      <c r="K3" s="15" t="s">
        <v>55</v>
      </c>
      <c r="L3" s="15" t="s">
        <v>54</v>
      </c>
      <c r="M3" s="15" t="s">
        <v>203</v>
      </c>
    </row>
    <row r="4" spans="2:13">
      <c r="B4" s="39" t="s">
        <v>46</v>
      </c>
      <c r="D4" s="15" t="s">
        <v>210</v>
      </c>
      <c r="E4" s="15" t="s">
        <v>472</v>
      </c>
      <c r="F4" s="15" t="s">
        <v>719</v>
      </c>
      <c r="G4" s="21" t="s">
        <v>729</v>
      </c>
      <c r="H4" s="15" t="s">
        <v>205</v>
      </c>
      <c r="I4" s="15" t="s">
        <v>470</v>
      </c>
      <c r="J4" s="15" t="s">
        <v>207</v>
      </c>
      <c r="K4" s="15" t="s">
        <v>208</v>
      </c>
      <c r="L4" s="15" t="s">
        <v>716</v>
      </c>
      <c r="M4" s="15" t="s">
        <v>715</v>
      </c>
    </row>
    <row r="5" spans="2:13">
      <c r="B5" s="40" t="s">
        <v>47</v>
      </c>
      <c r="D5" s="15" t="s">
        <v>217</v>
      </c>
      <c r="E5" s="15" t="s">
        <v>293</v>
      </c>
      <c r="F5" s="15" t="s">
        <v>219</v>
      </c>
      <c r="G5" s="18" t="s">
        <v>57</v>
      </c>
      <c r="H5" s="15" t="s">
        <v>484</v>
      </c>
      <c r="I5" s="15" t="s">
        <v>201</v>
      </c>
      <c r="J5" s="15" t="s">
        <v>725</v>
      </c>
      <c r="K5" s="15" t="s">
        <v>471</v>
      </c>
      <c r="L5" s="15" t="s">
        <v>209</v>
      </c>
      <c r="M5" s="15" t="s">
        <v>216</v>
      </c>
    </row>
    <row r="6" spans="2:13">
      <c r="B6" s="40" t="s">
        <v>37</v>
      </c>
      <c r="D6" s="15" t="s">
        <v>226</v>
      </c>
      <c r="E6" s="15" t="s">
        <v>211</v>
      </c>
      <c r="F6" s="15" t="s">
        <v>228</v>
      </c>
      <c r="G6" s="18" t="s">
        <v>58</v>
      </c>
      <c r="H6" s="15" t="s">
        <v>732</v>
      </c>
      <c r="I6" s="15" t="s">
        <v>206</v>
      </c>
      <c r="J6" s="15" t="s">
        <v>56</v>
      </c>
      <c r="K6" s="15" t="s">
        <v>214</v>
      </c>
      <c r="L6" s="15" t="s">
        <v>215</v>
      </c>
      <c r="M6" s="15" t="s">
        <v>482</v>
      </c>
    </row>
    <row r="7" spans="2:13">
      <c r="B7" s="40" t="s">
        <v>48</v>
      </c>
      <c r="D7" s="15" t="s">
        <v>233</v>
      </c>
      <c r="E7" s="15" t="s">
        <v>245</v>
      </c>
      <c r="F7" s="15" t="s">
        <v>235</v>
      </c>
      <c r="G7" s="21" t="s">
        <v>744</v>
      </c>
      <c r="H7" s="15" t="s">
        <v>212</v>
      </c>
      <c r="I7" s="15" t="s">
        <v>721</v>
      </c>
      <c r="J7" s="15" t="s">
        <v>223</v>
      </c>
      <c r="K7" s="15" t="s">
        <v>711</v>
      </c>
      <c r="L7" s="15" t="s">
        <v>59</v>
      </c>
      <c r="M7" s="15" t="s">
        <v>727</v>
      </c>
    </row>
    <row r="8" spans="2:13">
      <c r="B8" s="40" t="s">
        <v>49</v>
      </c>
      <c r="D8" s="15" t="s">
        <v>273</v>
      </c>
      <c r="E8" s="15" t="s">
        <v>262</v>
      </c>
      <c r="F8" s="15" t="s">
        <v>240</v>
      </c>
      <c r="G8" s="21" t="s">
        <v>488</v>
      </c>
      <c r="H8" s="15" t="s">
        <v>735</v>
      </c>
      <c r="I8" s="15" t="s">
        <v>480</v>
      </c>
      <c r="J8" s="15" t="s">
        <v>231</v>
      </c>
      <c r="K8" s="15" t="s">
        <v>712</v>
      </c>
      <c r="L8" s="15" t="s">
        <v>232</v>
      </c>
      <c r="M8" s="15" t="s">
        <v>225</v>
      </c>
    </row>
    <row r="9" spans="2:13">
      <c r="B9" s="40" t="s">
        <v>50</v>
      </c>
      <c r="D9" s="15" t="s">
        <v>252</v>
      </c>
      <c r="E9" s="15" t="s">
        <v>218</v>
      </c>
      <c r="F9" s="15" t="s">
        <v>733</v>
      </c>
      <c r="G9" s="15" t="s">
        <v>491</v>
      </c>
      <c r="H9" s="15" t="s">
        <v>221</v>
      </c>
      <c r="I9" s="15" t="s">
        <v>722</v>
      </c>
      <c r="J9" s="15" t="s">
        <v>743</v>
      </c>
      <c r="K9" s="15" t="s">
        <v>713</v>
      </c>
      <c r="L9" s="15" t="s">
        <v>238</v>
      </c>
      <c r="M9" s="15" t="s">
        <v>485</v>
      </c>
    </row>
    <row r="10" spans="2:13">
      <c r="B10" s="40" t="s">
        <v>36</v>
      </c>
      <c r="D10" s="15" t="s">
        <v>258</v>
      </c>
      <c r="E10" s="15" t="s">
        <v>276</v>
      </c>
      <c r="F10" s="15" t="s">
        <v>254</v>
      </c>
      <c r="G10" s="15" t="s">
        <v>220</v>
      </c>
      <c r="H10" s="15" t="s">
        <v>229</v>
      </c>
      <c r="I10" s="15" t="s">
        <v>213</v>
      </c>
      <c r="K10" s="15" t="s">
        <v>714</v>
      </c>
      <c r="L10" s="15" t="s">
        <v>736</v>
      </c>
      <c r="M10" s="15" t="s">
        <v>739</v>
      </c>
    </row>
    <row r="11" spans="2:13">
      <c r="B11" s="40" t="s">
        <v>51</v>
      </c>
      <c r="D11" s="15" t="s">
        <v>261</v>
      </c>
      <c r="E11" s="15" t="s">
        <v>253</v>
      </c>
      <c r="H11" s="15" t="s">
        <v>236</v>
      </c>
      <c r="I11" s="15" t="s">
        <v>724</v>
      </c>
      <c r="K11" s="15" t="s">
        <v>224</v>
      </c>
      <c r="L11" s="15" t="s">
        <v>737</v>
      </c>
      <c r="M11" s="15" t="s">
        <v>243</v>
      </c>
    </row>
    <row r="12" spans="2:13">
      <c r="B12" s="40" t="s">
        <v>52</v>
      </c>
      <c r="D12" s="15" t="s">
        <v>264</v>
      </c>
      <c r="E12" s="15" t="s">
        <v>718</v>
      </c>
      <c r="H12" s="15" t="s">
        <v>241</v>
      </c>
      <c r="I12" s="15" t="s">
        <v>222</v>
      </c>
      <c r="K12" s="15" t="s">
        <v>717</v>
      </c>
      <c r="L12" s="15" t="s">
        <v>486</v>
      </c>
      <c r="M12" s="15" t="s">
        <v>246</v>
      </c>
    </row>
    <row r="13" spans="2:13">
      <c r="B13" s="41" t="s">
        <v>53</v>
      </c>
      <c r="D13" s="15" t="s">
        <v>244</v>
      </c>
      <c r="E13" s="15" t="s">
        <v>267</v>
      </c>
      <c r="I13" s="15" t="s">
        <v>230</v>
      </c>
      <c r="K13" s="15" t="s">
        <v>720</v>
      </c>
      <c r="L13" s="15" t="s">
        <v>247</v>
      </c>
      <c r="M13" s="15" t="s">
        <v>251</v>
      </c>
    </row>
    <row r="14" spans="2:13">
      <c r="D14" s="15" t="s">
        <v>266</v>
      </c>
      <c r="E14" s="15" t="s">
        <v>227</v>
      </c>
      <c r="I14" s="15" t="s">
        <v>237</v>
      </c>
      <c r="K14" s="15" t="s">
        <v>479</v>
      </c>
      <c r="L14" s="15" t="s">
        <v>250</v>
      </c>
      <c r="M14" s="15" t="s">
        <v>487</v>
      </c>
    </row>
    <row r="15" spans="2:13">
      <c r="D15" s="15" t="s">
        <v>473</v>
      </c>
      <c r="E15" s="15" t="s">
        <v>234</v>
      </c>
      <c r="I15" s="15" t="s">
        <v>242</v>
      </c>
      <c r="K15" s="15" t="s">
        <v>481</v>
      </c>
      <c r="L15" s="15" t="s">
        <v>490</v>
      </c>
      <c r="M15" s="15" t="s">
        <v>748</v>
      </c>
    </row>
    <row r="16" spans="2:13">
      <c r="D16" s="15" t="s">
        <v>474</v>
      </c>
      <c r="E16" s="15" t="s">
        <v>280</v>
      </c>
      <c r="I16" s="15" t="s">
        <v>728</v>
      </c>
      <c r="K16" s="15" t="s">
        <v>723</v>
      </c>
      <c r="L16" s="15" t="s">
        <v>257</v>
      </c>
      <c r="M16" s="15" t="s">
        <v>63</v>
      </c>
    </row>
    <row r="17" spans="2:13">
      <c r="D17" s="15" t="s">
        <v>475</v>
      </c>
      <c r="E17" s="15" t="s">
        <v>289</v>
      </c>
      <c r="I17" s="15" t="s">
        <v>730</v>
      </c>
      <c r="K17" s="15" t="s">
        <v>726</v>
      </c>
      <c r="M17" s="15" t="s">
        <v>750</v>
      </c>
    </row>
    <row r="18" spans="2:13">
      <c r="B18" s="12"/>
      <c r="D18" s="15" t="s">
        <v>275</v>
      </c>
      <c r="E18" s="15" t="s">
        <v>284</v>
      </c>
      <c r="I18" s="15" t="s">
        <v>731</v>
      </c>
      <c r="K18" s="15" t="s">
        <v>734</v>
      </c>
      <c r="M18" s="15" t="s">
        <v>751</v>
      </c>
    </row>
    <row r="19" spans="2:13">
      <c r="D19" s="15" t="s">
        <v>277</v>
      </c>
      <c r="E19" s="15" t="s">
        <v>283</v>
      </c>
      <c r="I19" s="15" t="s">
        <v>483</v>
      </c>
      <c r="K19" s="15" t="s">
        <v>60</v>
      </c>
      <c r="M19" s="15" t="s">
        <v>269</v>
      </c>
    </row>
    <row r="20" spans="2:13">
      <c r="D20" s="15" t="s">
        <v>279</v>
      </c>
      <c r="E20" s="15" t="s">
        <v>287</v>
      </c>
      <c r="I20" s="15" t="s">
        <v>738</v>
      </c>
      <c r="K20" s="15" t="s">
        <v>740</v>
      </c>
      <c r="M20" s="15" t="s">
        <v>272</v>
      </c>
    </row>
    <row r="21" spans="2:13">
      <c r="E21" s="15" t="s">
        <v>288</v>
      </c>
      <c r="I21" s="15" t="s">
        <v>249</v>
      </c>
      <c r="K21" s="15" t="s">
        <v>741</v>
      </c>
      <c r="M21" s="15" t="s">
        <v>492</v>
      </c>
    </row>
    <row r="22" spans="2:13">
      <c r="E22" s="15" t="s">
        <v>285</v>
      </c>
      <c r="I22" s="15" t="s">
        <v>255</v>
      </c>
      <c r="K22" s="15" t="s">
        <v>61</v>
      </c>
    </row>
    <row r="23" spans="2:13">
      <c r="E23" s="15" t="s">
        <v>281</v>
      </c>
      <c r="I23" s="15" t="s">
        <v>260</v>
      </c>
      <c r="K23" s="15" t="s">
        <v>62</v>
      </c>
    </row>
    <row r="24" spans="2:13">
      <c r="E24" s="15" t="s">
        <v>204</v>
      </c>
      <c r="I24" s="15" t="s">
        <v>263</v>
      </c>
      <c r="K24" s="15" t="s">
        <v>256</v>
      </c>
    </row>
    <row r="25" spans="2:13">
      <c r="E25" s="15" t="s">
        <v>239</v>
      </c>
      <c r="I25" s="15" t="s">
        <v>265</v>
      </c>
      <c r="K25" s="15" t="s">
        <v>746</v>
      </c>
    </row>
    <row r="26" spans="2:13">
      <c r="E26" s="15" t="s">
        <v>271</v>
      </c>
      <c r="I26" s="15" t="s">
        <v>742</v>
      </c>
      <c r="K26" s="15" t="s">
        <v>747</v>
      </c>
    </row>
    <row r="27" spans="2:13">
      <c r="E27" s="15" t="s">
        <v>248</v>
      </c>
      <c r="I27" s="15" t="s">
        <v>268</v>
      </c>
      <c r="K27" s="15" t="s">
        <v>749</v>
      </c>
    </row>
    <row r="28" spans="2:13">
      <c r="E28" s="15" t="s">
        <v>290</v>
      </c>
      <c r="I28" s="15" t="s">
        <v>745</v>
      </c>
    </row>
    <row r="29" spans="2:13">
      <c r="E29" s="15" t="s">
        <v>259</v>
      </c>
      <c r="I29" s="15" t="s">
        <v>489</v>
      </c>
    </row>
    <row r="30" spans="2:13">
      <c r="E30" s="15" t="s">
        <v>292</v>
      </c>
    </row>
    <row r="31" spans="2:13">
      <c r="E31" s="15" t="s">
        <v>291</v>
      </c>
    </row>
    <row r="32" spans="2:13">
      <c r="E32" s="15" t="s">
        <v>295</v>
      </c>
    </row>
    <row r="33" spans="5:5">
      <c r="E33" s="15" t="s">
        <v>296</v>
      </c>
    </row>
    <row r="34" spans="5:5">
      <c r="E34" s="15" t="s">
        <v>297</v>
      </c>
    </row>
    <row r="35" spans="5:5">
      <c r="E35" s="15" t="s">
        <v>294</v>
      </c>
    </row>
    <row r="36" spans="5:5">
      <c r="E36" s="15" t="s">
        <v>476</v>
      </c>
    </row>
    <row r="37" spans="5:5">
      <c r="E37" s="15" t="s">
        <v>197</v>
      </c>
    </row>
    <row r="38" spans="5:5">
      <c r="E38" s="15" t="s">
        <v>274</v>
      </c>
    </row>
    <row r="39" spans="5:5">
      <c r="E39" s="15" t="s">
        <v>282</v>
      </c>
    </row>
    <row r="40" spans="5:5">
      <c r="E40" s="15" t="s">
        <v>477</v>
      </c>
    </row>
    <row r="41" spans="5:5">
      <c r="E41" s="15" t="s">
        <v>478</v>
      </c>
    </row>
    <row r="42" spans="5:5">
      <c r="E42" s="15" t="s">
        <v>286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A1:R86"/>
  <sheetViews>
    <sheetView showGridLines="0" zoomScaleNormal="100" workbookViewId="0">
      <selection activeCell="A11" sqref="A11:K11"/>
    </sheetView>
  </sheetViews>
  <sheetFormatPr baseColWidth="10" defaultColWidth="9.1640625" defaultRowHeight="15"/>
  <cols>
    <col min="1" max="1" width="45" style="126" customWidth="1"/>
    <col min="2" max="2" width="39.83203125" style="126" customWidth="1"/>
    <col min="3" max="3" width="20" style="126" customWidth="1"/>
    <col min="4" max="4" width="14.5" style="126" customWidth="1"/>
    <col min="5" max="5" width="21.83203125" style="126" customWidth="1"/>
    <col min="6" max="6" width="16.1640625" style="126" customWidth="1"/>
    <col min="7" max="7" width="14.1640625" style="126" customWidth="1"/>
    <col min="8" max="8" width="15.5" style="126" customWidth="1"/>
    <col min="9" max="10" width="14.1640625" style="126" customWidth="1"/>
    <col min="11" max="11" width="16" style="126" customWidth="1"/>
    <col min="12" max="13" width="14.1640625" style="126" customWidth="1"/>
    <col min="14" max="14" width="4.83203125" style="126" customWidth="1"/>
    <col min="15" max="16" width="14.1640625" style="126" customWidth="1"/>
    <col min="17" max="16384" width="9.1640625" style="126"/>
  </cols>
  <sheetData>
    <row r="1" spans="1:11" ht="24">
      <c r="A1" s="468"/>
      <c r="B1" s="563" t="s">
        <v>313</v>
      </c>
      <c r="C1" s="564"/>
      <c r="D1" s="456"/>
      <c r="E1" s="456"/>
      <c r="F1" s="456"/>
      <c r="G1" s="456"/>
      <c r="H1" s="456"/>
    </row>
    <row r="2" spans="1:11">
      <c r="B2" s="131"/>
    </row>
    <row r="3" spans="1:11">
      <c r="A3" s="131" t="s">
        <v>1574</v>
      </c>
    </row>
    <row r="4" spans="1:11" s="133" customFormat="1">
      <c r="A4" s="132" t="s">
        <v>312</v>
      </c>
    </row>
    <row r="6" spans="1:11">
      <c r="A6" s="126" t="s">
        <v>2422</v>
      </c>
    </row>
    <row r="7" spans="1:11">
      <c r="A7" s="126" t="s">
        <v>458</v>
      </c>
    </row>
    <row r="8" spans="1:11">
      <c r="A8" s="126" t="s">
        <v>2455</v>
      </c>
    </row>
    <row r="10" spans="1:11">
      <c r="A10" s="134" t="s">
        <v>2450</v>
      </c>
    </row>
    <row r="11" spans="1:11">
      <c r="A11" s="501" t="s">
        <v>2461</v>
      </c>
      <c r="B11" s="501"/>
      <c r="C11" s="501"/>
      <c r="D11" s="501"/>
      <c r="E11" s="501"/>
      <c r="F11" s="501"/>
      <c r="G11" s="501"/>
      <c r="H11" s="501"/>
      <c r="I11" s="501"/>
      <c r="J11" s="501"/>
      <c r="K11" s="501"/>
    </row>
    <row r="12" spans="1:11" ht="19">
      <c r="A12" s="458"/>
      <c r="B12" s="561" t="s">
        <v>2423</v>
      </c>
      <c r="C12" s="489"/>
      <c r="D12" s="458"/>
      <c r="E12" s="458"/>
      <c r="F12" s="458"/>
      <c r="G12" s="458"/>
      <c r="H12" s="415"/>
      <c r="I12" s="415"/>
      <c r="J12" s="415"/>
      <c r="K12" s="415"/>
    </row>
    <row r="13" spans="1:11">
      <c r="A13" s="163" t="s">
        <v>2454</v>
      </c>
    </row>
    <row r="14" spans="1:11">
      <c r="A14" s="163"/>
    </row>
    <row r="15" spans="1:11">
      <c r="A15" s="212"/>
      <c r="B15" s="506" t="s">
        <v>2424</v>
      </c>
      <c r="C15" s="506"/>
      <c r="D15" s="506"/>
    </row>
    <row r="16" spans="1:11" ht="16">
      <c r="A16" s="216" t="s">
        <v>459</v>
      </c>
      <c r="B16" s="402" t="s">
        <v>2419</v>
      </c>
      <c r="C16" s="511" t="s">
        <v>2421</v>
      </c>
      <c r="D16" s="511"/>
      <c r="E16" s="274" t="s">
        <v>2445</v>
      </c>
    </row>
    <row r="17" spans="1:18">
      <c r="A17" s="223" t="s">
        <v>78</v>
      </c>
      <c r="B17" s="233">
        <f ca="1">+'Market Adjustment Tool'!B68</f>
        <v>0.25252946278249294</v>
      </c>
      <c r="C17" s="555">
        <f ca="1">+'Market Adjustment Tool'!C68</f>
        <v>0.32828830161724087</v>
      </c>
      <c r="D17" s="556"/>
      <c r="E17" s="434">
        <f>'Market Adjustment Tool'!F68</f>
        <v>0</v>
      </c>
    </row>
    <row r="18" spans="1:18">
      <c r="A18" s="223" t="s">
        <v>79</v>
      </c>
      <c r="B18" s="233">
        <f ca="1">+'Market Adjustment Tool'!B69</f>
        <v>0</v>
      </c>
      <c r="C18" s="555">
        <f ca="1">+'Market Adjustment Tool'!C69</f>
        <v>0</v>
      </c>
      <c r="D18" s="556"/>
      <c r="E18" s="434">
        <f>'Market Adjustment Tool'!F69</f>
        <v>0</v>
      </c>
    </row>
    <row r="20" spans="1:18">
      <c r="B20" s="170">
        <f ca="1">+'Market Adjustment Tool'!B91</f>
        <v>2022</v>
      </c>
      <c r="C20" s="170">
        <f ca="1">+'Market Adjustment Tool'!C91</f>
        <v>2023</v>
      </c>
      <c r="D20" s="170">
        <f ca="1">+'Market Adjustment Tool'!D91</f>
        <v>2024</v>
      </c>
      <c r="E20" s="170">
        <f ca="1">+'Market Adjustment Tool'!E91</f>
        <v>2025</v>
      </c>
      <c r="F20" s="170">
        <f ca="1">+'Market Adjustment Tool'!F91</f>
        <v>2026</v>
      </c>
      <c r="G20" s="170">
        <f ca="1">+'Market Adjustment Tool'!G91</f>
        <v>2027</v>
      </c>
      <c r="H20" s="170">
        <f ca="1">+'Market Adjustment Tool'!H91</f>
        <v>2028</v>
      </c>
      <c r="I20" s="170">
        <f ca="1">+'Market Adjustment Tool'!I91</f>
        <v>2029</v>
      </c>
      <c r="J20" s="170">
        <f ca="1">+'Market Adjustment Tool'!J91</f>
        <v>2030</v>
      </c>
      <c r="K20" s="170">
        <f ca="1">+'Market Adjustment Tool'!K91</f>
        <v>2031</v>
      </c>
    </row>
    <row r="21" spans="1:18" ht="15.75" customHeight="1">
      <c r="A21" s="242" t="s">
        <v>84</v>
      </c>
      <c r="B21" s="416">
        <f ca="1">+'Market Adjustment Tool'!B94</f>
        <v>0</v>
      </c>
      <c r="C21" s="416">
        <f ca="1">+'Market Adjustment Tool'!C94</f>
        <v>0</v>
      </c>
      <c r="D21" s="416">
        <f ca="1">+'Market Adjustment Tool'!D94</f>
        <v>0</v>
      </c>
      <c r="E21" s="416">
        <f ca="1">+'Market Adjustment Tool'!E94</f>
        <v>0</v>
      </c>
      <c r="F21" s="416">
        <f ca="1">+'Market Adjustment Tool'!F94</f>
        <v>0</v>
      </c>
      <c r="G21" s="416">
        <f ca="1">+'Market Adjustment Tool'!G94</f>
        <v>0</v>
      </c>
      <c r="H21" s="416">
        <f ca="1">+'Market Adjustment Tool'!H94</f>
        <v>0</v>
      </c>
      <c r="I21" s="416">
        <f ca="1">+'Market Adjustment Tool'!I94</f>
        <v>0</v>
      </c>
      <c r="J21" s="416">
        <f ca="1">+'Market Adjustment Tool'!J94</f>
        <v>0</v>
      </c>
      <c r="K21" s="416">
        <f ca="1">+'Market Adjustment Tool'!K94</f>
        <v>0</v>
      </c>
    </row>
    <row r="22" spans="1:18" ht="15.75" customHeight="1">
      <c r="A22" s="242"/>
      <c r="B22" s="136"/>
      <c r="C22" s="136"/>
      <c r="D22" s="136"/>
      <c r="E22" s="136"/>
      <c r="F22" s="136"/>
      <c r="G22" s="136"/>
      <c r="H22" s="136"/>
      <c r="I22" s="136"/>
      <c r="J22" s="136"/>
      <c r="K22" s="136"/>
    </row>
    <row r="23" spans="1:18" s="177" customFormat="1" ht="15.75" customHeight="1">
      <c r="A23" s="457"/>
      <c r="B23" s="562" t="s">
        <v>1460</v>
      </c>
      <c r="C23" s="489"/>
      <c r="D23" s="457"/>
      <c r="E23" s="457"/>
      <c r="F23" s="457"/>
      <c r="G23" s="457"/>
      <c r="H23" s="210"/>
      <c r="I23" s="210"/>
      <c r="J23" s="210"/>
      <c r="K23" s="210"/>
    </row>
    <row r="24" spans="1:18">
      <c r="A24" s="211" t="s">
        <v>1461</v>
      </c>
      <c r="B24" s="136"/>
      <c r="C24" s="136"/>
      <c r="D24" s="136"/>
      <c r="E24" s="136"/>
      <c r="F24" s="136"/>
      <c r="G24" s="136"/>
      <c r="H24" s="136"/>
      <c r="I24" s="136"/>
      <c r="J24" s="136"/>
      <c r="K24" s="136"/>
      <c r="L24" s="136"/>
      <c r="M24" s="136"/>
    </row>
    <row r="25" spans="1:18" ht="14.25" customHeight="1">
      <c r="A25" s="212"/>
      <c r="B25" s="136"/>
      <c r="C25" s="136"/>
      <c r="D25" s="136"/>
      <c r="E25" s="136"/>
      <c r="F25" s="136"/>
      <c r="G25" s="136"/>
      <c r="H25" s="136"/>
      <c r="I25" s="136"/>
      <c r="J25" s="136"/>
      <c r="K25" s="136"/>
      <c r="L25" s="136"/>
      <c r="M25" s="136"/>
    </row>
    <row r="26" spans="1:18">
      <c r="A26" s="213" t="s">
        <v>76</v>
      </c>
      <c r="B26" s="136"/>
      <c r="C26" s="136"/>
      <c r="D26" s="136"/>
      <c r="E26" s="136"/>
      <c r="F26" s="136"/>
      <c r="G26" s="518" t="s">
        <v>1584</v>
      </c>
      <c r="H26" s="518"/>
      <c r="I26" s="518"/>
      <c r="J26" s="136"/>
      <c r="K26" s="136"/>
      <c r="L26" s="136"/>
      <c r="M26" s="136"/>
    </row>
    <row r="27" spans="1:18" ht="30" customHeight="1">
      <c r="A27" s="557" t="s">
        <v>461</v>
      </c>
      <c r="B27" s="558"/>
      <c r="C27" s="558"/>
      <c r="D27" s="558"/>
      <c r="E27" s="558"/>
      <c r="F27" s="214"/>
      <c r="G27" s="559" t="s">
        <v>1568</v>
      </c>
      <c r="H27" s="560"/>
      <c r="I27" s="215" t="s">
        <v>44</v>
      </c>
      <c r="L27" s="136"/>
      <c r="M27" s="136"/>
    </row>
    <row r="28" spans="1:18">
      <c r="A28" s="216"/>
      <c r="B28" s="136"/>
      <c r="C28" s="136"/>
      <c r="D28" s="136"/>
      <c r="E28" s="136"/>
      <c r="F28" s="136"/>
      <c r="G28" s="541" t="s">
        <v>1563</v>
      </c>
      <c r="H28" s="541"/>
      <c r="I28" s="217">
        <v>1500000</v>
      </c>
      <c r="L28" s="136"/>
      <c r="M28" s="136"/>
    </row>
    <row r="29" spans="1:18">
      <c r="B29" s="136"/>
      <c r="C29" s="136"/>
      <c r="D29" s="136"/>
      <c r="E29" s="136"/>
      <c r="F29" s="136"/>
      <c r="G29" s="541" t="s">
        <v>1564</v>
      </c>
      <c r="H29" s="541"/>
      <c r="I29" s="217">
        <v>800000</v>
      </c>
      <c r="L29" s="136"/>
      <c r="M29" s="136"/>
    </row>
    <row r="30" spans="1:18">
      <c r="A30" s="136" t="s">
        <v>1462</v>
      </c>
      <c r="B30" s="565"/>
      <c r="C30" s="566"/>
      <c r="D30" s="218"/>
      <c r="E30" s="136"/>
      <c r="F30" s="136"/>
      <c r="G30" s="541" t="s">
        <v>1585</v>
      </c>
      <c r="H30" s="541"/>
      <c r="I30" s="217">
        <v>800000</v>
      </c>
      <c r="L30" s="136"/>
      <c r="M30" s="136"/>
    </row>
    <row r="31" spans="1:18" ht="15" customHeight="1">
      <c r="A31" s="136" t="s">
        <v>322</v>
      </c>
      <c r="B31" s="423" t="str">
        <f>'Population Estimator Tool'!B19</f>
        <v>Cancer, hematological</v>
      </c>
      <c r="C31" s="567" t="str">
        <f>'Population Estimator Tool'!C19</f>
        <v>Cancer, leukaemia, acute lymphocytic</v>
      </c>
      <c r="D31" s="568"/>
      <c r="E31" s="423" t="str">
        <f>'Population Estimator Tool'!E19</f>
        <v>CD19</v>
      </c>
      <c r="F31" s="219" t="str">
        <f ca="1">IF(OR('Population Estimator Tool'!C20&lt;&gt;"",'Population Estimator Tool'!E20&lt;&gt;""), "Warning: Need to Update Disease/Subpopulation Data on Population Estimator Tool","")</f>
        <v/>
      </c>
      <c r="G31" s="541" t="s">
        <v>1565</v>
      </c>
      <c r="H31" s="541"/>
      <c r="I31" s="217">
        <v>500000</v>
      </c>
      <c r="L31" s="190"/>
      <c r="M31" s="190"/>
      <c r="P31" s="139"/>
      <c r="Q31" s="139"/>
      <c r="R31" s="139"/>
    </row>
    <row r="32" spans="1:18" ht="15" customHeight="1">
      <c r="A32" s="422"/>
      <c r="B32" s="540"/>
      <c r="C32" s="540"/>
      <c r="D32" s="540"/>
      <c r="E32" s="540"/>
      <c r="F32" s="136"/>
      <c r="G32" s="538" t="s">
        <v>1566</v>
      </c>
      <c r="H32" s="539"/>
      <c r="I32" s="217">
        <v>400000</v>
      </c>
      <c r="L32" s="190"/>
      <c r="O32" s="139"/>
      <c r="P32" s="139"/>
      <c r="Q32" s="139"/>
    </row>
    <row r="33" spans="1:15" ht="15" customHeight="1">
      <c r="A33" s="220"/>
      <c r="B33" s="136"/>
      <c r="C33" s="221"/>
      <c r="D33" s="136"/>
      <c r="E33" s="136"/>
      <c r="F33" s="136"/>
      <c r="G33" s="541" t="s">
        <v>1586</v>
      </c>
      <c r="H33" s="541"/>
      <c r="I33" s="217">
        <v>100000</v>
      </c>
      <c r="L33" s="136"/>
    </row>
    <row r="34" spans="1:15" ht="17.25" customHeight="1">
      <c r="A34" s="222" t="s">
        <v>1467</v>
      </c>
      <c r="B34" s="136"/>
      <c r="C34" s="221"/>
      <c r="D34" s="136"/>
      <c r="E34" s="136"/>
      <c r="F34" s="136"/>
      <c r="G34" s="541" t="s">
        <v>1567</v>
      </c>
      <c r="H34" s="541"/>
      <c r="I34" s="217">
        <v>50000</v>
      </c>
      <c r="L34" s="136"/>
    </row>
    <row r="35" spans="1:15" ht="14.5" customHeight="1">
      <c r="A35" s="222"/>
      <c r="B35" s="223"/>
      <c r="C35" s="221"/>
      <c r="D35" s="223"/>
      <c r="E35" s="223"/>
      <c r="F35" s="223"/>
      <c r="G35" s="223"/>
      <c r="H35" s="223"/>
      <c r="I35" s="223"/>
      <c r="J35" s="223"/>
      <c r="K35" s="224"/>
      <c r="L35" s="136"/>
    </row>
    <row r="36" spans="1:15" ht="15" customHeight="1">
      <c r="A36" s="450" t="s">
        <v>1446</v>
      </c>
      <c r="B36" s="91">
        <v>2150000</v>
      </c>
      <c r="C36" s="454" t="str">
        <f>CONCATENATE(" If no therapy cost is entered, the default therapy cost for therapeutic category """&amp;'Hidden Drop Down Lists'!$E$17&amp;""" will be used (see table above).")</f>
        <v xml:space="preserve"> If no therapy cost is entered, the default therapy cost for therapeutic category "CAR-T/TCR" will be used (see table above).</v>
      </c>
      <c r="G36" s="225"/>
      <c r="H36" s="140"/>
      <c r="K36" s="223"/>
      <c r="L36" s="136"/>
    </row>
    <row r="37" spans="1:15" ht="15" customHeight="1">
      <c r="A37" s="450" t="s">
        <v>2397</v>
      </c>
      <c r="B37" s="91"/>
      <c r="C37" s="221"/>
      <c r="D37" s="136"/>
      <c r="E37" s="140"/>
      <c r="F37" s="140"/>
      <c r="G37" s="220"/>
      <c r="H37" s="218"/>
      <c r="I37" s="218"/>
      <c r="J37" s="218"/>
      <c r="K37" s="136"/>
      <c r="L37" s="218"/>
      <c r="O37" s="172"/>
    </row>
    <row r="38" spans="1:15" ht="15" customHeight="1">
      <c r="A38" s="450" t="s">
        <v>1463</v>
      </c>
      <c r="B38" s="91"/>
      <c r="C38" s="542" t="s">
        <v>1539</v>
      </c>
      <c r="D38" s="543"/>
      <c r="E38" s="543"/>
      <c r="F38" s="543"/>
      <c r="G38" s="543"/>
      <c r="H38" s="544"/>
      <c r="I38" s="218"/>
      <c r="J38" s="218"/>
      <c r="K38" s="218"/>
      <c r="L38" s="218"/>
      <c r="O38" s="172"/>
    </row>
    <row r="39" spans="1:15" ht="15" customHeight="1">
      <c r="A39" s="226" t="s">
        <v>1447</v>
      </c>
      <c r="B39" s="453">
        <f>IF(B36&gt;0,B36+B37+B38,'Hidden Drop Down Lists'!C17+B37+B38)</f>
        <v>2150000</v>
      </c>
      <c r="C39" s="221"/>
      <c r="D39" s="136"/>
      <c r="E39" s="136"/>
      <c r="F39" s="136"/>
      <c r="G39" s="218"/>
      <c r="H39" s="218"/>
      <c r="I39" s="218"/>
      <c r="J39" s="218"/>
      <c r="K39" s="218"/>
      <c r="L39" s="218"/>
      <c r="O39" s="172"/>
    </row>
    <row r="40" spans="1:15" ht="14.5" customHeight="1">
      <c r="A40" s="140"/>
      <c r="B40" s="227"/>
      <c r="C40" s="221"/>
      <c r="D40" s="136"/>
      <c r="E40" s="136"/>
      <c r="F40" s="136"/>
      <c r="G40" s="218"/>
      <c r="H40" s="218"/>
      <c r="I40" s="218"/>
      <c r="J40" s="218"/>
      <c r="K40" s="218"/>
      <c r="L40" s="218"/>
      <c r="O40" s="172"/>
    </row>
    <row r="41" spans="1:15" ht="15" customHeight="1">
      <c r="A41" s="228" t="str">
        <f ca="1">CONCATENATE("Do you want to start analysis this year ("&amp;YEAR(TODAY())&amp;")?")</f>
        <v>Do you want to start analysis this year (2022)?</v>
      </c>
      <c r="B41" s="451" t="s">
        <v>89</v>
      </c>
      <c r="C41" s="126" t="s">
        <v>2457</v>
      </c>
      <c r="D41" s="136"/>
      <c r="E41" s="136"/>
      <c r="F41" s="136"/>
      <c r="G41" s="136"/>
      <c r="H41" s="136"/>
      <c r="I41" s="136"/>
      <c r="J41" s="136"/>
      <c r="K41" s="218"/>
      <c r="L41" s="136"/>
    </row>
    <row r="42" spans="1:15" ht="15" customHeight="1">
      <c r="A42" s="228"/>
      <c r="B42" s="136"/>
      <c r="C42" s="136"/>
      <c r="D42" s="136"/>
      <c r="E42" s="136"/>
      <c r="F42" s="136"/>
      <c r="G42" s="136"/>
      <c r="H42" s="136"/>
      <c r="I42" s="136"/>
      <c r="J42" s="136"/>
      <c r="K42" s="218"/>
      <c r="L42" s="136"/>
    </row>
    <row r="43" spans="1:15" ht="15" customHeight="1">
      <c r="A43" s="136" t="s">
        <v>2456</v>
      </c>
      <c r="B43" s="451">
        <v>2022</v>
      </c>
      <c r="C43" s="228" t="s">
        <v>2458</v>
      </c>
      <c r="D43" s="228"/>
      <c r="E43" s="136"/>
      <c r="F43" s="136"/>
      <c r="G43" s="136"/>
      <c r="H43" s="136"/>
      <c r="I43" s="136"/>
      <c r="J43" s="136"/>
      <c r="K43" s="136"/>
    </row>
    <row r="44" spans="1:15" ht="8" customHeight="1">
      <c r="A44" s="213"/>
      <c r="B44" s="136"/>
      <c r="C44" s="136"/>
      <c r="D44" s="136"/>
      <c r="E44" s="136"/>
      <c r="F44" s="136"/>
      <c r="G44" s="136"/>
      <c r="H44" s="136"/>
      <c r="I44" s="136"/>
      <c r="J44" s="136"/>
      <c r="K44" s="136"/>
      <c r="L44" s="136"/>
    </row>
    <row r="45" spans="1:15" ht="15" customHeight="1">
      <c r="A45" s="213" t="s">
        <v>77</v>
      </c>
      <c r="B45" s="136"/>
      <c r="C45" s="136"/>
      <c r="D45" s="136"/>
      <c r="E45" s="136"/>
      <c r="F45" s="136"/>
      <c r="G45" s="136"/>
      <c r="H45" s="136"/>
      <c r="I45" s="136"/>
      <c r="J45" s="136"/>
      <c r="K45" s="136"/>
      <c r="L45" s="136"/>
    </row>
    <row r="46" spans="1:15" ht="8" customHeight="1">
      <c r="A46" s="136"/>
      <c r="B46" s="136"/>
      <c r="C46" s="136"/>
      <c r="D46" s="136"/>
      <c r="E46" s="136"/>
      <c r="F46" s="136"/>
      <c r="G46" s="136"/>
      <c r="H46" s="136"/>
      <c r="I46" s="136"/>
      <c r="J46" s="136"/>
      <c r="K46" s="136"/>
      <c r="L46" s="136"/>
    </row>
    <row r="47" spans="1:15" ht="15" customHeight="1">
      <c r="A47" s="136" t="s">
        <v>321</v>
      </c>
      <c r="B47" s="469">
        <f>'Population Estimator Tool'!B47</f>
        <v>130000</v>
      </c>
      <c r="C47" s="218"/>
      <c r="D47" s="136"/>
      <c r="E47" s="136"/>
      <c r="F47" s="136"/>
      <c r="G47" s="136"/>
      <c r="H47" s="136"/>
      <c r="I47" s="136"/>
      <c r="J47" s="136"/>
      <c r="K47" s="136"/>
      <c r="L47" s="136"/>
    </row>
    <row r="48" spans="1:15" ht="15" customHeight="1">
      <c r="A48" s="136"/>
      <c r="B48" s="136"/>
      <c r="C48" s="136"/>
      <c r="D48" s="136"/>
      <c r="E48" s="136"/>
      <c r="F48" s="136"/>
      <c r="G48" s="136"/>
      <c r="H48" s="136"/>
      <c r="I48" s="136"/>
      <c r="J48" s="136"/>
      <c r="K48" s="136"/>
      <c r="L48" s="136"/>
    </row>
    <row r="49" spans="1:15" s="133" customFormat="1" ht="19">
      <c r="A49" s="459"/>
      <c r="B49" s="551" t="s">
        <v>1468</v>
      </c>
      <c r="C49" s="552"/>
      <c r="D49" s="459"/>
      <c r="E49" s="459"/>
      <c r="F49" s="459"/>
      <c r="G49" s="459"/>
      <c r="H49" s="238"/>
      <c r="I49" s="238"/>
      <c r="J49" s="238"/>
      <c r="K49" s="239"/>
    </row>
    <row r="50" spans="1:15">
      <c r="A50" s="553" t="s">
        <v>2425</v>
      </c>
      <c r="B50" s="554"/>
      <c r="C50" s="554"/>
      <c r="E50" s="127"/>
    </row>
    <row r="51" spans="1:15" ht="14.25" customHeight="1">
      <c r="C51" s="240"/>
      <c r="E51" s="127"/>
    </row>
    <row r="52" spans="1:15" ht="14.25" customHeight="1">
      <c r="A52" s="549" t="s">
        <v>1559</v>
      </c>
      <c r="B52" s="550"/>
      <c r="C52" s="550"/>
      <c r="D52" s="550"/>
      <c r="E52" s="550"/>
      <c r="F52" s="550"/>
      <c r="G52" s="550"/>
      <c r="H52" s="550"/>
      <c r="I52" s="550"/>
      <c r="J52" s="550"/>
      <c r="K52" s="241"/>
    </row>
    <row r="53" spans="1:15" ht="17.25" customHeight="1">
      <c r="A53" s="549"/>
      <c r="B53" s="550"/>
      <c r="C53" s="550"/>
      <c r="D53" s="550"/>
      <c r="E53" s="550"/>
      <c r="F53" s="550"/>
      <c r="G53" s="550"/>
      <c r="H53" s="550"/>
      <c r="I53" s="550"/>
      <c r="J53" s="550"/>
      <c r="K53" s="133"/>
    </row>
    <row r="54" spans="1:15" ht="17.25" customHeight="1">
      <c r="A54" s="163" t="s">
        <v>1583</v>
      </c>
      <c r="C54" s="133"/>
      <c r="D54" s="133"/>
      <c r="E54" s="133"/>
      <c r="F54" s="133"/>
      <c r="G54" s="133"/>
      <c r="H54" s="133"/>
      <c r="I54" s="133"/>
      <c r="J54" s="133"/>
      <c r="K54" s="133"/>
    </row>
    <row r="55" spans="1:15" ht="9" customHeight="1">
      <c r="A55" s="163"/>
      <c r="C55" s="133"/>
      <c r="D55" s="133"/>
      <c r="E55" s="133"/>
      <c r="F55" s="133"/>
      <c r="G55" s="133"/>
      <c r="H55" s="133"/>
      <c r="I55" s="133"/>
      <c r="J55" s="133"/>
      <c r="K55" s="133"/>
    </row>
    <row r="56" spans="1:15" ht="17.25" customHeight="1">
      <c r="A56" s="130" t="s">
        <v>1560</v>
      </c>
      <c r="B56" s="451" t="s">
        <v>88</v>
      </c>
      <c r="C56" s="133"/>
      <c r="D56" s="133"/>
      <c r="E56" s="133"/>
      <c r="F56" s="133"/>
      <c r="G56" s="133"/>
      <c r="H56" s="133"/>
      <c r="I56" s="133"/>
      <c r="J56" s="133"/>
      <c r="K56" s="133"/>
    </row>
    <row r="57" spans="1:15" ht="8" customHeight="1">
      <c r="B57" s="437"/>
      <c r="C57" s="437"/>
      <c r="D57" s="437"/>
      <c r="E57" s="437"/>
      <c r="F57" s="437"/>
      <c r="G57" s="437"/>
      <c r="H57" s="437"/>
      <c r="I57" s="437"/>
      <c r="J57" s="437"/>
      <c r="K57" s="437"/>
      <c r="L57" s="133"/>
      <c r="M57" s="133"/>
    </row>
    <row r="58" spans="1:15">
      <c r="B58" s="464">
        <f ca="1">IF($B$41="No",$B$43,YEAR(TODAY()))</f>
        <v>2022</v>
      </c>
      <c r="C58" s="464">
        <f ca="1">B58+1</f>
        <v>2023</v>
      </c>
      <c r="D58" s="464">
        <f t="shared" ref="D58:K58" ca="1" si="0">C58+1</f>
        <v>2024</v>
      </c>
      <c r="E58" s="464">
        <f t="shared" ca="1" si="0"/>
        <v>2025</v>
      </c>
      <c r="F58" s="464">
        <f t="shared" ca="1" si="0"/>
        <v>2026</v>
      </c>
      <c r="G58" s="464">
        <f t="shared" ca="1" si="0"/>
        <v>2027</v>
      </c>
      <c r="H58" s="464">
        <f t="shared" ca="1" si="0"/>
        <v>2028</v>
      </c>
      <c r="I58" s="464">
        <f t="shared" ca="1" si="0"/>
        <v>2029</v>
      </c>
      <c r="J58" s="464">
        <f t="shared" ca="1" si="0"/>
        <v>2030</v>
      </c>
      <c r="K58" s="464">
        <f t="shared" ca="1" si="0"/>
        <v>2031</v>
      </c>
      <c r="L58" s="133"/>
      <c r="M58" s="133"/>
    </row>
    <row r="59" spans="1:15" ht="14.25" customHeight="1">
      <c r="A59" s="242" t="s">
        <v>84</v>
      </c>
      <c r="B59" s="243">
        <f ca="1">IF($B$56="No",Calculations!C29,Calculations!C20)</f>
        <v>0</v>
      </c>
      <c r="C59" s="243">
        <f ca="1">IF($B$56="No",Calculations!D29,Calculations!D20)</f>
        <v>0</v>
      </c>
      <c r="D59" s="243">
        <f ca="1">IF($B$56="No",Calculations!E29,Calculations!E20)</f>
        <v>0</v>
      </c>
      <c r="E59" s="243">
        <f ca="1">IF($B$56="No",Calculations!F29,Calculations!F20)</f>
        <v>0</v>
      </c>
      <c r="F59" s="243">
        <f ca="1">IF($B$56="No",Calculations!G29,Calculations!G20)</f>
        <v>0</v>
      </c>
      <c r="G59" s="243">
        <f ca="1">IF($B$56="No",Calculations!H29,Calculations!H20)</f>
        <v>0</v>
      </c>
      <c r="H59" s="243">
        <f ca="1">IF($B$56="No",Calculations!I29,Calculations!I20)</f>
        <v>0</v>
      </c>
      <c r="I59" s="243">
        <f ca="1">IF($B$56="No",Calculations!J29,Calculations!J20)</f>
        <v>0</v>
      </c>
      <c r="J59" s="243">
        <f ca="1">IF($B$56="No",Calculations!K29,Calculations!K20)</f>
        <v>0</v>
      </c>
      <c r="K59" s="243">
        <f ca="1">IF($B$56="No",Calculations!L29,Calculations!L20)</f>
        <v>0</v>
      </c>
      <c r="L59" s="133"/>
      <c r="M59" s="133"/>
    </row>
    <row r="60" spans="1:15">
      <c r="A60" s="460" t="s">
        <v>85</v>
      </c>
      <c r="B60" s="150">
        <f ca="1">B59*$B$39/1000000</f>
        <v>0</v>
      </c>
      <c r="C60" s="150">
        <f t="shared" ref="C60:K60" ca="1" si="1">C59*$B$39/1000000</f>
        <v>0</v>
      </c>
      <c r="D60" s="150">
        <f t="shared" ca="1" si="1"/>
        <v>0</v>
      </c>
      <c r="E60" s="150">
        <f t="shared" ca="1" si="1"/>
        <v>0</v>
      </c>
      <c r="F60" s="150">
        <f t="shared" ca="1" si="1"/>
        <v>0</v>
      </c>
      <c r="G60" s="150">
        <f t="shared" ca="1" si="1"/>
        <v>0</v>
      </c>
      <c r="H60" s="150">
        <f t="shared" ca="1" si="1"/>
        <v>0</v>
      </c>
      <c r="I60" s="150">
        <f t="shared" ca="1" si="1"/>
        <v>0</v>
      </c>
      <c r="J60" s="150">
        <f t="shared" ca="1" si="1"/>
        <v>0</v>
      </c>
      <c r="K60" s="150">
        <f t="shared" ca="1" si="1"/>
        <v>0</v>
      </c>
    </row>
    <row r="61" spans="1:15">
      <c r="A61" s="460" t="s">
        <v>86</v>
      </c>
      <c r="B61" s="152">
        <f ca="1">B60/$B$47*1000000/12</f>
        <v>0</v>
      </c>
      <c r="C61" s="152">
        <f t="shared" ref="C61:K61" ca="1" si="2">C60/$B$47*1000000/12</f>
        <v>0</v>
      </c>
      <c r="D61" s="152">
        <f t="shared" ca="1" si="2"/>
        <v>0</v>
      </c>
      <c r="E61" s="152">
        <f t="shared" ca="1" si="2"/>
        <v>0</v>
      </c>
      <c r="F61" s="152">
        <f t="shared" ca="1" si="2"/>
        <v>0</v>
      </c>
      <c r="G61" s="152">
        <f t="shared" ca="1" si="2"/>
        <v>0</v>
      </c>
      <c r="H61" s="152">
        <f t="shared" ca="1" si="2"/>
        <v>0</v>
      </c>
      <c r="I61" s="152">
        <f t="shared" ca="1" si="2"/>
        <v>0</v>
      </c>
      <c r="J61" s="152">
        <f t="shared" ca="1" si="2"/>
        <v>0</v>
      </c>
      <c r="K61" s="152">
        <f t="shared" ca="1" si="2"/>
        <v>0</v>
      </c>
    </row>
    <row r="62" spans="1:15" ht="14.25" customHeight="1">
      <c r="A62" s="133"/>
      <c r="B62" s="154"/>
      <c r="C62" s="133"/>
      <c r="D62" s="133"/>
      <c r="E62" s="133"/>
      <c r="F62" s="133"/>
      <c r="G62" s="133"/>
      <c r="H62" s="133"/>
      <c r="I62" s="133"/>
      <c r="J62" s="133"/>
      <c r="K62" s="133"/>
      <c r="M62" s="244"/>
    </row>
    <row r="63" spans="1:15" s="133" customFormat="1">
      <c r="A63" s="163" t="s">
        <v>460</v>
      </c>
      <c r="B63" s="126"/>
      <c r="C63" s="126"/>
      <c r="D63" s="126"/>
      <c r="E63" s="126"/>
      <c r="F63" s="126"/>
      <c r="G63" s="126"/>
      <c r="H63" s="126"/>
      <c r="I63" s="126"/>
      <c r="J63" s="126"/>
      <c r="K63" s="126"/>
      <c r="L63" s="126"/>
      <c r="M63" s="126"/>
    </row>
    <row r="64" spans="1:15" s="133" customFormat="1" ht="14.25" customHeight="1">
      <c r="A64" s="545" t="s">
        <v>1464</v>
      </c>
      <c r="B64" s="546"/>
      <c r="C64" s="546"/>
      <c r="D64" s="546"/>
      <c r="E64" s="546"/>
      <c r="F64" s="546"/>
      <c r="G64" s="546"/>
      <c r="H64" s="546"/>
      <c r="I64" s="546"/>
      <c r="J64" s="126"/>
      <c r="K64" s="126"/>
      <c r="L64" s="126"/>
      <c r="M64" s="126"/>
      <c r="N64" s="126"/>
      <c r="O64" s="126"/>
    </row>
    <row r="65" spans="1:18" ht="14.25" customHeight="1">
      <c r="A65" s="545"/>
      <c r="B65" s="546"/>
      <c r="C65" s="546"/>
      <c r="D65" s="546"/>
      <c r="E65" s="546"/>
      <c r="F65" s="546"/>
      <c r="G65" s="546"/>
      <c r="H65" s="546"/>
      <c r="I65" s="546"/>
    </row>
    <row r="66" spans="1:18">
      <c r="A66" s="548" t="s">
        <v>98</v>
      </c>
      <c r="B66" s="245"/>
      <c r="E66" s="184"/>
      <c r="F66" s="246"/>
      <c r="G66" s="246"/>
      <c r="H66" s="246"/>
      <c r="I66" s="246"/>
      <c r="J66" s="246"/>
      <c r="K66" s="128"/>
    </row>
    <row r="67" spans="1:18" ht="35.25" customHeight="1">
      <c r="A67" s="548"/>
      <c r="B67" s="245"/>
      <c r="C67" s="247"/>
      <c r="E67" s="184"/>
      <c r="F67" s="232"/>
      <c r="G67" s="232"/>
      <c r="H67" s="232"/>
      <c r="I67" s="232"/>
      <c r="J67" s="232"/>
      <c r="K67" s="232"/>
    </row>
    <row r="68" spans="1:18">
      <c r="B68" s="170">
        <f t="shared" ref="B68:K68" ca="1" si="3">B58</f>
        <v>2022</v>
      </c>
      <c r="C68" s="170">
        <f t="shared" ca="1" si="3"/>
        <v>2023</v>
      </c>
      <c r="D68" s="170">
        <f t="shared" ca="1" si="3"/>
        <v>2024</v>
      </c>
      <c r="E68" s="170">
        <f t="shared" ca="1" si="3"/>
        <v>2025</v>
      </c>
      <c r="F68" s="170">
        <f t="shared" ca="1" si="3"/>
        <v>2026</v>
      </c>
      <c r="G68" s="170">
        <f t="shared" ca="1" si="3"/>
        <v>2027</v>
      </c>
      <c r="H68" s="170">
        <f t="shared" ca="1" si="3"/>
        <v>2028</v>
      </c>
      <c r="I68" s="170">
        <f t="shared" ca="1" si="3"/>
        <v>2029</v>
      </c>
      <c r="J68" s="170">
        <f t="shared" ca="1" si="3"/>
        <v>2030</v>
      </c>
      <c r="K68" s="170">
        <f t="shared" ca="1" si="3"/>
        <v>2031</v>
      </c>
      <c r="L68" s="128"/>
      <c r="M68" s="128"/>
    </row>
    <row r="69" spans="1:18" ht="14.25" customHeight="1">
      <c r="A69" s="209" t="s">
        <v>84</v>
      </c>
      <c r="B69" s="469">
        <f ca="1">Calculations!C39</f>
        <v>1</v>
      </c>
      <c r="C69" s="137">
        <f ca="1">Calculations!D39</f>
        <v>1</v>
      </c>
      <c r="D69" s="137">
        <f ca="1">Calculations!E39</f>
        <v>1</v>
      </c>
      <c r="E69" s="137">
        <f ca="1">Calculations!F39</f>
        <v>1</v>
      </c>
      <c r="F69" s="137">
        <f ca="1">Calculations!G39</f>
        <v>1</v>
      </c>
      <c r="G69" s="137">
        <f ca="1">Calculations!H39</f>
        <v>1</v>
      </c>
      <c r="H69" s="137">
        <f ca="1">Calculations!I39</f>
        <v>1</v>
      </c>
      <c r="I69" s="137">
        <f ca="1">Calculations!J39</f>
        <v>1</v>
      </c>
      <c r="J69" s="137">
        <f ca="1">Calculations!K39</f>
        <v>1</v>
      </c>
      <c r="K69" s="137">
        <f ca="1">Calculations!L39</f>
        <v>1</v>
      </c>
      <c r="L69" s="246"/>
      <c r="M69" s="246"/>
    </row>
    <row r="70" spans="1:18" ht="14.25" customHeight="1">
      <c r="A70" s="130" t="s">
        <v>85</v>
      </c>
      <c r="B70" s="150">
        <f ca="1">B69*$B$39/1000000</f>
        <v>2.15</v>
      </c>
      <c r="C70" s="150">
        <f t="shared" ref="C70:K70" ca="1" si="4">C69*$B$39/1000000</f>
        <v>2.15</v>
      </c>
      <c r="D70" s="150">
        <f t="shared" ca="1" si="4"/>
        <v>2.15</v>
      </c>
      <c r="E70" s="150">
        <f t="shared" ca="1" si="4"/>
        <v>2.15</v>
      </c>
      <c r="F70" s="150">
        <f t="shared" ca="1" si="4"/>
        <v>2.15</v>
      </c>
      <c r="G70" s="150">
        <f t="shared" ca="1" si="4"/>
        <v>2.15</v>
      </c>
      <c r="H70" s="150">
        <f t="shared" ca="1" si="4"/>
        <v>2.15</v>
      </c>
      <c r="I70" s="150">
        <f t="shared" ca="1" si="4"/>
        <v>2.15</v>
      </c>
      <c r="J70" s="150">
        <f t="shared" ca="1" si="4"/>
        <v>2.15</v>
      </c>
      <c r="K70" s="150">
        <f t="shared" ca="1" si="4"/>
        <v>2.15</v>
      </c>
    </row>
    <row r="71" spans="1:18">
      <c r="A71" s="130" t="s">
        <v>86</v>
      </c>
      <c r="B71" s="152">
        <f ca="1">B70/$B$47*1000000/12</f>
        <v>1.3782051282051284</v>
      </c>
      <c r="C71" s="152">
        <f t="shared" ref="C71:K71" ca="1" si="5">C70/$B$47*1000000/12</f>
        <v>1.3782051282051284</v>
      </c>
      <c r="D71" s="152">
        <f t="shared" ca="1" si="5"/>
        <v>1.3782051282051284</v>
      </c>
      <c r="E71" s="152">
        <f t="shared" ca="1" si="5"/>
        <v>1.3782051282051284</v>
      </c>
      <c r="F71" s="152">
        <f t="shared" ca="1" si="5"/>
        <v>1.3782051282051284</v>
      </c>
      <c r="G71" s="152">
        <f t="shared" ca="1" si="5"/>
        <v>1.3782051282051284</v>
      </c>
      <c r="H71" s="152">
        <f t="shared" ca="1" si="5"/>
        <v>1.3782051282051284</v>
      </c>
      <c r="I71" s="152">
        <f t="shared" ca="1" si="5"/>
        <v>1.3782051282051284</v>
      </c>
      <c r="J71" s="152">
        <f t="shared" ca="1" si="5"/>
        <v>1.3782051282051284</v>
      </c>
      <c r="K71" s="152">
        <f t="shared" ca="1" si="5"/>
        <v>1.3782051282051284</v>
      </c>
    </row>
    <row r="72" spans="1:18" ht="14.25" customHeight="1">
      <c r="B72" s="154"/>
      <c r="C72" s="154"/>
      <c r="D72" s="154"/>
      <c r="E72" s="154"/>
      <c r="F72" s="154"/>
      <c r="G72" s="154"/>
      <c r="H72" s="154"/>
      <c r="I72" s="154"/>
      <c r="J72" s="154"/>
      <c r="K72" s="154"/>
    </row>
    <row r="73" spans="1:18">
      <c r="A73" s="130"/>
    </row>
    <row r="74" spans="1:18" ht="14.5" customHeight="1">
      <c r="A74" s="452" t="s">
        <v>97</v>
      </c>
      <c r="N74" s="128"/>
    </row>
    <row r="75" spans="1:18" ht="14.25" customHeight="1">
      <c r="A75" s="166"/>
    </row>
    <row r="76" spans="1:18" ht="14.25" customHeight="1">
      <c r="A76" s="209" t="s">
        <v>84</v>
      </c>
      <c r="B76" s="137">
        <v>1</v>
      </c>
      <c r="F76" s="248"/>
    </row>
    <row r="77" spans="1:18" ht="15" customHeight="1">
      <c r="A77" s="130" t="s">
        <v>1525</v>
      </c>
      <c r="B77" s="249">
        <f>B76*$B$39</f>
        <v>2150000</v>
      </c>
      <c r="F77" s="248"/>
      <c r="P77" s="246"/>
      <c r="Q77" s="246"/>
      <c r="R77" s="246"/>
    </row>
    <row r="78" spans="1:18" ht="16" customHeight="1">
      <c r="A78" s="223" t="s">
        <v>86</v>
      </c>
      <c r="B78" s="152">
        <f>B77/$B$47/12</f>
        <v>1.3782051282051284</v>
      </c>
      <c r="C78" s="136"/>
      <c r="D78" s="136"/>
      <c r="E78" s="136"/>
      <c r="F78" s="136"/>
      <c r="G78" s="136"/>
      <c r="H78" s="136"/>
      <c r="I78" s="136"/>
      <c r="J78" s="136"/>
    </row>
    <row r="79" spans="1:18" ht="15" customHeight="1">
      <c r="A79" s="223"/>
      <c r="B79" s="154"/>
      <c r="C79" s="136"/>
      <c r="D79" s="136"/>
      <c r="E79" s="136"/>
      <c r="F79" s="136"/>
      <c r="G79" s="136"/>
      <c r="H79" s="136"/>
      <c r="I79" s="136"/>
      <c r="J79" s="136"/>
    </row>
    <row r="80" spans="1:18" ht="15" customHeight="1">
      <c r="A80" s="547" t="s">
        <v>109</v>
      </c>
      <c r="B80" s="136"/>
      <c r="C80" s="136"/>
      <c r="D80" s="136"/>
      <c r="E80" s="136"/>
      <c r="F80" s="136"/>
      <c r="G80" s="136"/>
      <c r="H80" s="136"/>
      <c r="I80" s="136"/>
      <c r="J80" s="136"/>
    </row>
    <row r="81" spans="1:10" ht="14.25" customHeight="1">
      <c r="A81" s="547"/>
      <c r="B81" s="250">
        <f ca="1">1-EXP(-IF($E$17=0,$C$17,$E$17))</f>
        <v>0.27984463218365419</v>
      </c>
      <c r="C81" s="251" t="s">
        <v>110</v>
      </c>
      <c r="D81" s="136"/>
      <c r="E81" s="136"/>
      <c r="F81" s="136"/>
      <c r="G81" s="136"/>
      <c r="H81" s="136"/>
      <c r="I81" s="136"/>
      <c r="J81" s="136"/>
    </row>
    <row r="82" spans="1:10">
      <c r="A82" s="252"/>
      <c r="B82" s="136"/>
      <c r="C82" s="136"/>
      <c r="D82" s="136"/>
      <c r="E82" s="136"/>
      <c r="F82" s="136"/>
      <c r="G82" s="136"/>
      <c r="H82" s="136"/>
      <c r="I82" s="136"/>
      <c r="J82" s="136"/>
    </row>
    <row r="83" spans="1:10">
      <c r="A83" s="253"/>
      <c r="B83" s="136"/>
      <c r="C83" s="136"/>
      <c r="D83" s="136"/>
      <c r="E83" s="136"/>
      <c r="F83" s="136"/>
      <c r="G83" s="136"/>
      <c r="H83" s="136"/>
      <c r="I83" s="136"/>
      <c r="J83" s="136"/>
    </row>
    <row r="84" spans="1:10">
      <c r="A84" s="136"/>
      <c r="B84" s="254"/>
      <c r="C84" s="254"/>
      <c r="D84" s="254"/>
      <c r="E84" s="254"/>
      <c r="F84" s="254"/>
      <c r="G84" s="254"/>
      <c r="H84" s="254"/>
      <c r="I84" s="254"/>
      <c r="J84" s="254"/>
    </row>
    <row r="85" spans="1:10">
      <c r="B85" s="255"/>
    </row>
    <row r="86" spans="1:10">
      <c r="B86" s="136"/>
      <c r="G86" s="248"/>
    </row>
  </sheetData>
  <sheetProtection algorithmName="SHA-512" hashValue="ZmeSQ0yDRR8vI5Sbpi/zKfcGfDN7QsxMiScUqgB8l+CEZtRdtAZE1yE8radMwPKHAe/bP0rrGY03bMo0yuqbqw==" saltValue="PpJXK6cPBZp/N8wxl2vCSw==" spinCount="100000" sheet="1" selectLockedCells="1"/>
  <mergeCells count="28">
    <mergeCell ref="B12:C12"/>
    <mergeCell ref="B23:C23"/>
    <mergeCell ref="B1:C1"/>
    <mergeCell ref="B30:C30"/>
    <mergeCell ref="C31:D31"/>
    <mergeCell ref="A11:K11"/>
    <mergeCell ref="G26:I26"/>
    <mergeCell ref="G30:H30"/>
    <mergeCell ref="G29:H29"/>
    <mergeCell ref="G31:H31"/>
    <mergeCell ref="B15:D15"/>
    <mergeCell ref="C16:D16"/>
    <mergeCell ref="C17:D17"/>
    <mergeCell ref="A27:E27"/>
    <mergeCell ref="G27:H27"/>
    <mergeCell ref="G28:H28"/>
    <mergeCell ref="C18:D18"/>
    <mergeCell ref="A64:I65"/>
    <mergeCell ref="A80:A81"/>
    <mergeCell ref="A66:A67"/>
    <mergeCell ref="A52:J53"/>
    <mergeCell ref="B49:C49"/>
    <mergeCell ref="A50:C50"/>
    <mergeCell ref="G32:H32"/>
    <mergeCell ref="B32:E32"/>
    <mergeCell ref="G34:H34"/>
    <mergeCell ref="G33:H33"/>
    <mergeCell ref="C38:H38"/>
  </mergeCells>
  <phoneticPr fontId="32" type="noConversion"/>
  <conditionalFormatting sqref="B43">
    <cfRule type="expression" dxfId="15" priority="1">
      <formula>$B$41="Yes"</formula>
    </cfRule>
  </conditionalFormatting>
  <hyperlinks>
    <hyperlink ref="A11:K11" r:id="rId1" display="Detailed instructions on completing  this worksheet tool may be found here:   Individual Indication Workbook background" xr:uid="{C38BA732-5D33-5F4C-A056-4907A62478FB}"/>
  </hyperlinks>
  <pageMargins left="0.7" right="0.7" top="0.75" bottom="0.75" header="0.3" footer="0.3"/>
  <pageSetup scale="54" fitToHeight="0" orientation="landscape" horizontalDpi="1200" verticalDpi="1200" r:id="rId2"/>
  <headerFooter>
    <oddFooter>&amp;CSubject to Terms of Use
MIT CENTER FOR BIOMEDICAL INNOVATION
NEWDIGS/FoCUS</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'Hidden Drop Down Lists'!$A$23:$A$24</xm:f>
          </x14:formula1>
          <xm:sqref>E66:E67</xm:sqref>
        </x14:dataValidation>
        <x14:dataValidation type="list" allowBlank="1" showInputMessage="1" showErrorMessage="1" xr:uid="{00000000-0002-0000-0700-000001000000}">
          <x14:formula1>
            <xm:f>'Hidden Drop Down Lists'!$A$5:$A$6</xm:f>
          </x14:formula1>
          <xm:sqref>B56 B41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pageSetUpPr fitToPage="1"/>
  </sheetPr>
  <dimension ref="A1:O120"/>
  <sheetViews>
    <sheetView showGridLines="0" workbookViewId="0">
      <selection activeCell="A11" sqref="A11:H11"/>
    </sheetView>
  </sheetViews>
  <sheetFormatPr baseColWidth="10" defaultColWidth="9.1640625" defaultRowHeight="15"/>
  <cols>
    <col min="1" max="1" width="46.1640625" style="126" customWidth="1"/>
    <col min="2" max="2" width="21.1640625" style="126" customWidth="1"/>
    <col min="3" max="3" width="13.83203125" style="126" customWidth="1"/>
    <col min="4" max="7" width="14.1640625" style="126" customWidth="1"/>
    <col min="8" max="8" width="4.5" style="126" customWidth="1"/>
    <col min="9" max="9" width="14.1640625" style="126" customWidth="1"/>
    <col min="10" max="10" width="14.83203125" style="126" customWidth="1"/>
    <col min="11" max="11" width="14.1640625" style="126" customWidth="1"/>
    <col min="12" max="16384" width="9.1640625" style="126"/>
  </cols>
  <sheetData>
    <row r="1" spans="1:8" ht="24">
      <c r="A1" s="467"/>
      <c r="B1" s="492" t="s">
        <v>34</v>
      </c>
      <c r="C1" s="489"/>
      <c r="D1" s="489"/>
    </row>
    <row r="2" spans="1:8">
      <c r="A2" s="128"/>
    </row>
    <row r="3" spans="1:8">
      <c r="A3" s="129" t="s">
        <v>1476</v>
      </c>
    </row>
    <row r="4" spans="1:8">
      <c r="A4" s="130" t="s">
        <v>326</v>
      </c>
    </row>
    <row r="5" spans="1:8">
      <c r="A5" s="129" t="s">
        <v>1469</v>
      </c>
    </row>
    <row r="6" spans="1:8">
      <c r="A6" s="129"/>
    </row>
    <row r="7" spans="1:8">
      <c r="A7" s="131" t="s">
        <v>316</v>
      </c>
    </row>
    <row r="8" spans="1:8" s="133" customFormat="1">
      <c r="A8" s="132" t="s">
        <v>312</v>
      </c>
    </row>
    <row r="9" spans="1:8" s="133" customFormat="1">
      <c r="A9" s="132"/>
    </row>
    <row r="10" spans="1:8">
      <c r="A10" s="134" t="s">
        <v>2450</v>
      </c>
    </row>
    <row r="11" spans="1:8">
      <c r="A11" s="501" t="s">
        <v>2460</v>
      </c>
      <c r="B11" s="501"/>
      <c r="C11" s="501"/>
      <c r="D11" s="501"/>
      <c r="E11" s="501"/>
      <c r="F11" s="501"/>
      <c r="G11" s="501"/>
      <c r="H11" s="501"/>
    </row>
    <row r="12" spans="1:8">
      <c r="A12" s="584" t="s">
        <v>1470</v>
      </c>
      <c r="B12" s="584"/>
      <c r="C12" s="584"/>
      <c r="D12" s="584"/>
      <c r="E12" s="584"/>
      <c r="F12" s="584"/>
      <c r="G12" s="584"/>
      <c r="H12" s="135"/>
    </row>
    <row r="13" spans="1:8" s="133" customFormat="1">
      <c r="A13" s="136" t="s">
        <v>322</v>
      </c>
      <c r="B13" s="137" t="str">
        <f>'Population Estimator Tool'!B19</f>
        <v>Cancer, hematological</v>
      </c>
      <c r="C13" s="585" t="str">
        <f>'Population Estimator Tool'!C19</f>
        <v>Cancer, leukaemia, acute lymphocytic</v>
      </c>
      <c r="D13" s="586"/>
      <c r="E13" s="587"/>
      <c r="F13" s="138" t="str">
        <f>'Population Estimator Tool'!E19</f>
        <v>CD19</v>
      </c>
      <c r="G13" s="139"/>
    </row>
    <row r="14" spans="1:8" s="133" customFormat="1">
      <c r="A14" s="136"/>
      <c r="B14" s="140"/>
      <c r="C14" s="141"/>
      <c r="D14" s="141"/>
      <c r="E14" s="141"/>
      <c r="F14" s="140"/>
      <c r="G14" s="139"/>
    </row>
    <row r="15" spans="1:8" s="133" customFormat="1">
      <c r="A15" s="139" t="s">
        <v>1471</v>
      </c>
      <c r="B15" s="142">
        <f ca="1">'Therapy Impact Modeling Tool'!B81</f>
        <v>0.27984463218365419</v>
      </c>
      <c r="C15" s="143"/>
      <c r="D15" s="143"/>
      <c r="E15" s="143"/>
      <c r="F15" s="143"/>
      <c r="G15" s="139"/>
    </row>
    <row r="16" spans="1:8" s="133" customFormat="1">
      <c r="A16" s="139"/>
      <c r="B16" s="144"/>
      <c r="C16" s="143"/>
      <c r="D16" s="143"/>
      <c r="E16" s="143"/>
      <c r="F16" s="143"/>
      <c r="G16" s="139"/>
    </row>
    <row r="17" spans="1:9" s="133" customFormat="1" ht="16">
      <c r="A17" s="128" t="s">
        <v>1472</v>
      </c>
      <c r="B17" s="145">
        <f>'Therapy Impact Modeling Tool'!B78</f>
        <v>1.3782051282051284</v>
      </c>
      <c r="C17" s="143"/>
      <c r="D17" s="143"/>
      <c r="E17" s="143"/>
      <c r="F17" s="143"/>
      <c r="G17" s="139"/>
      <c r="I17" s="133" t="s">
        <v>2391</v>
      </c>
    </row>
    <row r="18" spans="1:9" s="133" customFormat="1">
      <c r="A18" s="128"/>
      <c r="B18" s="146"/>
      <c r="C18" s="139"/>
      <c r="D18" s="139"/>
      <c r="E18" s="139"/>
      <c r="F18" s="139"/>
      <c r="G18" s="139"/>
    </row>
    <row r="19" spans="1:9" s="133" customFormat="1">
      <c r="A19" s="147" t="s">
        <v>1473</v>
      </c>
      <c r="B19" s="146"/>
      <c r="C19" s="139"/>
      <c r="D19" s="139"/>
      <c r="E19" s="139"/>
      <c r="F19" s="139"/>
      <c r="G19" s="139"/>
    </row>
    <row r="20" spans="1:9" s="133" customFormat="1">
      <c r="A20" s="148"/>
      <c r="B20" s="149">
        <f ca="1">'Therapy Impact Modeling Tool'!B58</f>
        <v>2022</v>
      </c>
      <c r="C20" s="149">
        <f ca="1">B20+1</f>
        <v>2023</v>
      </c>
      <c r="D20" s="149">
        <f ca="1">C20+1</f>
        <v>2024</v>
      </c>
      <c r="E20" s="149">
        <f ca="1">D20+1</f>
        <v>2025</v>
      </c>
      <c r="F20" s="149">
        <f ca="1">E20+1</f>
        <v>2026</v>
      </c>
    </row>
    <row r="21" spans="1:9" s="133" customFormat="1">
      <c r="A21" s="148" t="s">
        <v>1524</v>
      </c>
      <c r="B21" s="150">
        <f ca="1">Calculations!C20*'Therapy Impact Modeling Tool'!$B$39/1000000</f>
        <v>0</v>
      </c>
      <c r="C21" s="150">
        <f ca="1">Calculations!D20*'Therapy Impact Modeling Tool'!$B$39/1000000</f>
        <v>0</v>
      </c>
      <c r="D21" s="150">
        <f ca="1">Calculations!E20*'Therapy Impact Modeling Tool'!$B$39/1000000</f>
        <v>0</v>
      </c>
      <c r="E21" s="150">
        <f ca="1">Calculations!F20*'Therapy Impact Modeling Tool'!$B$39/1000000</f>
        <v>0</v>
      </c>
      <c r="F21" s="150">
        <f ca="1">Calculations!G20*'Therapy Impact Modeling Tool'!$B$39/1000000</f>
        <v>0</v>
      </c>
      <c r="G21" s="151"/>
    </row>
    <row r="22" spans="1:9" s="133" customFormat="1">
      <c r="A22" s="148" t="s">
        <v>1474</v>
      </c>
      <c r="B22" s="152">
        <f ca="1">B21/'Therapy Impact Modeling Tool'!$B$47*1000000/12</f>
        <v>0</v>
      </c>
      <c r="C22" s="152">
        <f ca="1">C21/'Therapy Impact Modeling Tool'!$B$47*1000000/12</f>
        <v>0</v>
      </c>
      <c r="D22" s="152">
        <f ca="1">D21/'Therapy Impact Modeling Tool'!$B$47*1000000/12</f>
        <v>0</v>
      </c>
      <c r="E22" s="152">
        <f ca="1">E21/'Therapy Impact Modeling Tool'!$B$47*1000000/12</f>
        <v>0</v>
      </c>
      <c r="F22" s="152">
        <f ca="1">F21/'Therapy Impact Modeling Tool'!$B$47*1000000/12</f>
        <v>0</v>
      </c>
      <c r="G22" s="153"/>
    </row>
    <row r="23" spans="1:9" s="133" customFormat="1">
      <c r="A23" s="148"/>
      <c r="B23" s="154"/>
      <c r="C23" s="154"/>
      <c r="D23" s="154"/>
      <c r="E23" s="154"/>
      <c r="F23" s="154"/>
      <c r="G23" s="154"/>
    </row>
    <row r="24" spans="1:9" s="133" customFormat="1" ht="16">
      <c r="A24" s="155" t="s">
        <v>2426</v>
      </c>
      <c r="B24" s="154"/>
      <c r="D24" s="154"/>
      <c r="E24" s="156" t="s">
        <v>1475</v>
      </c>
      <c r="F24" s="154"/>
      <c r="G24" s="154"/>
    </row>
    <row r="25" spans="1:9" s="133" customFormat="1">
      <c r="A25" s="157"/>
      <c r="B25" s="149">
        <f ca="1">B20</f>
        <v>2022</v>
      </c>
      <c r="C25" s="149">
        <f ca="1">C20</f>
        <v>2023</v>
      </c>
      <c r="D25" s="149">
        <f ca="1">D20</f>
        <v>2024</v>
      </c>
      <c r="E25" s="438">
        <f ca="1">E20</f>
        <v>2025</v>
      </c>
      <c r="F25" s="149">
        <f ca="1">F20</f>
        <v>2026</v>
      </c>
      <c r="G25" s="140"/>
    </row>
    <row r="26" spans="1:9" s="133" customFormat="1">
      <c r="A26" s="148" t="s">
        <v>1524</v>
      </c>
      <c r="B26" s="158">
        <f ca="1">Calculations!C39*'Therapy Impact Modeling Tool'!$B$39/1000000</f>
        <v>2.15</v>
      </c>
      <c r="C26" s="158">
        <f ca="1">Calculations!D39*'Therapy Impact Modeling Tool'!$B$39/1000000</f>
        <v>2.15</v>
      </c>
      <c r="D26" s="158">
        <f ca="1">Calculations!E39*'Therapy Impact Modeling Tool'!$B$39/1000000</f>
        <v>2.15</v>
      </c>
      <c r="E26" s="158">
        <f ca="1">Calculations!F39*'Therapy Impact Modeling Tool'!$B$39/1000000</f>
        <v>2.15</v>
      </c>
      <c r="F26" s="158">
        <f ca="1">Calculations!G39*'Therapy Impact Modeling Tool'!$B$39/1000000</f>
        <v>2.15</v>
      </c>
      <c r="G26" s="159"/>
    </row>
    <row r="27" spans="1:9" s="133" customFormat="1">
      <c r="A27" s="148" t="s">
        <v>1474</v>
      </c>
      <c r="B27" s="160">
        <f ca="1">B26/'Therapy Impact Modeling Tool'!$B$47*1000000/12</f>
        <v>1.3782051282051284</v>
      </c>
      <c r="C27" s="160">
        <f ca="1">C26/'Therapy Impact Modeling Tool'!$B$47*1000000/12</f>
        <v>1.3782051282051284</v>
      </c>
      <c r="D27" s="160">
        <f ca="1">D26/'Therapy Impact Modeling Tool'!$B$47*1000000/12</f>
        <v>1.3782051282051284</v>
      </c>
      <c r="E27" s="160">
        <f ca="1">E26/'Therapy Impact Modeling Tool'!$B$47*1000000/12</f>
        <v>1.3782051282051284</v>
      </c>
      <c r="F27" s="160">
        <f ca="1">F26/'Therapy Impact Modeling Tool'!$B$47*1000000/12</f>
        <v>1.3782051282051284</v>
      </c>
      <c r="G27" s="161"/>
    </row>
    <row r="28" spans="1:9" s="133" customFormat="1">
      <c r="A28" s="139"/>
      <c r="B28" s="139"/>
      <c r="C28" s="139"/>
      <c r="D28" s="139"/>
      <c r="E28" s="139"/>
      <c r="F28" s="139"/>
      <c r="G28" s="139"/>
    </row>
    <row r="29" spans="1:9">
      <c r="A29" s="134"/>
    </row>
    <row r="30" spans="1:9">
      <c r="A30" s="588" t="s">
        <v>1481</v>
      </c>
      <c r="B30" s="588"/>
      <c r="C30" s="588"/>
      <c r="D30" s="588"/>
      <c r="E30" s="588"/>
      <c r="F30" s="588"/>
      <c r="G30" s="588"/>
      <c r="H30" s="588"/>
    </row>
    <row r="31" spans="1:9">
      <c r="A31" s="162" t="s">
        <v>1541</v>
      </c>
      <c r="B31" s="163"/>
    </row>
    <row r="32" spans="1:9">
      <c r="A32" s="164" t="s">
        <v>11</v>
      </c>
      <c r="B32" s="149"/>
    </row>
    <row r="33" spans="1:5">
      <c r="A33" s="165" t="s">
        <v>463</v>
      </c>
      <c r="B33" s="149"/>
    </row>
    <row r="34" spans="1:5">
      <c r="A34" s="166" t="s">
        <v>464</v>
      </c>
      <c r="B34" s="149"/>
    </row>
    <row r="35" spans="1:5">
      <c r="A35" s="166" t="s">
        <v>465</v>
      </c>
      <c r="B35" s="149"/>
    </row>
    <row r="36" spans="1:5">
      <c r="A36" s="164"/>
      <c r="B36" s="149"/>
    </row>
    <row r="37" spans="1:5" ht="41.25" customHeight="1">
      <c r="A37" s="590" t="s">
        <v>325</v>
      </c>
      <c r="B37" s="590"/>
      <c r="C37" s="590"/>
      <c r="D37" s="465" t="s">
        <v>89</v>
      </c>
      <c r="E37" s="167" t="s">
        <v>193</v>
      </c>
    </row>
    <row r="38" spans="1:5" ht="35.25" customHeight="1">
      <c r="A38" s="590" t="s">
        <v>317</v>
      </c>
      <c r="B38" s="590"/>
      <c r="C38" s="590"/>
      <c r="D38" s="465" t="s">
        <v>89</v>
      </c>
      <c r="E38" s="167" t="s">
        <v>193</v>
      </c>
    </row>
    <row r="39" spans="1:5">
      <c r="A39" s="168"/>
      <c r="B39" s="149"/>
    </row>
    <row r="40" spans="1:5">
      <c r="A40" s="164" t="s">
        <v>192</v>
      </c>
      <c r="B40" s="149"/>
    </row>
    <row r="41" spans="1:5">
      <c r="A41" s="165" t="s">
        <v>466</v>
      </c>
      <c r="B41" s="149"/>
    </row>
    <row r="42" spans="1:5">
      <c r="A42" s="165" t="s">
        <v>467</v>
      </c>
      <c r="B42" s="149"/>
    </row>
    <row r="43" spans="1:5">
      <c r="A43" s="165" t="s">
        <v>1477</v>
      </c>
      <c r="B43" s="149"/>
    </row>
    <row r="44" spans="1:5">
      <c r="A44" s="169" t="s">
        <v>1478</v>
      </c>
      <c r="B44" s="149"/>
    </row>
    <row r="45" spans="1:5">
      <c r="A45" s="164"/>
      <c r="B45" s="149"/>
    </row>
    <row r="46" spans="1:5" ht="35.25" customHeight="1">
      <c r="A46" s="590" t="s">
        <v>331</v>
      </c>
      <c r="B46" s="590"/>
      <c r="C46" s="590"/>
      <c r="D46" s="465" t="s">
        <v>88</v>
      </c>
      <c r="E46" s="167" t="s">
        <v>193</v>
      </c>
    </row>
    <row r="47" spans="1:5" ht="35.25" customHeight="1">
      <c r="A47" s="590" t="s">
        <v>194</v>
      </c>
      <c r="B47" s="590"/>
      <c r="C47" s="590"/>
      <c r="D47" s="465" t="s">
        <v>89</v>
      </c>
      <c r="E47" s="167" t="s">
        <v>193</v>
      </c>
    </row>
    <row r="48" spans="1:5">
      <c r="A48" s="163"/>
      <c r="B48" s="170"/>
    </row>
    <row r="49" spans="1:15">
      <c r="A49" s="171" t="s">
        <v>13</v>
      </c>
      <c r="B49" s="149"/>
      <c r="D49" s="172"/>
    </row>
    <row r="50" spans="1:15">
      <c r="A50" s="165" t="s">
        <v>1479</v>
      </c>
      <c r="B50" s="149"/>
      <c r="D50" s="172"/>
    </row>
    <row r="51" spans="1:15">
      <c r="A51" s="166" t="s">
        <v>1581</v>
      </c>
      <c r="B51" s="149"/>
      <c r="D51" s="172"/>
    </row>
    <row r="52" spans="1:15">
      <c r="A52" s="166" t="s">
        <v>1480</v>
      </c>
      <c r="B52" s="149"/>
      <c r="D52" s="172"/>
    </row>
    <row r="53" spans="1:15">
      <c r="A53" s="166"/>
      <c r="B53" s="149"/>
      <c r="D53" s="172"/>
    </row>
    <row r="54" spans="1:15" ht="14.25" customHeight="1">
      <c r="A54" s="569" t="s">
        <v>314</v>
      </c>
      <c r="B54" s="569"/>
      <c r="C54" s="569"/>
      <c r="D54" s="465" t="s">
        <v>88</v>
      </c>
      <c r="E54" s="167" t="s">
        <v>193</v>
      </c>
    </row>
    <row r="55" spans="1:15">
      <c r="A55" s="173"/>
      <c r="B55" s="149"/>
    </row>
    <row r="56" spans="1:15">
      <c r="A56" s="589" t="s">
        <v>1482</v>
      </c>
      <c r="B56" s="589"/>
      <c r="C56" s="589"/>
      <c r="D56" s="589"/>
      <c r="E56" s="589"/>
      <c r="F56" s="589"/>
      <c r="G56" s="589"/>
      <c r="H56" s="589"/>
    </row>
    <row r="57" spans="1:15" s="133" customFormat="1" ht="17.25" customHeight="1">
      <c r="A57" s="461" t="s">
        <v>1542</v>
      </c>
      <c r="B57" s="174"/>
      <c r="C57" s="174"/>
      <c r="D57" s="174"/>
      <c r="E57" s="174"/>
      <c r="F57" s="174"/>
      <c r="G57" s="174"/>
      <c r="H57" s="174"/>
    </row>
    <row r="58" spans="1:15" ht="29.25" customHeight="1">
      <c r="A58" s="580" t="s">
        <v>1543</v>
      </c>
      <c r="B58" s="580"/>
      <c r="C58" s="580"/>
      <c r="D58" s="580"/>
      <c r="E58" s="580"/>
      <c r="O58" s="175"/>
    </row>
    <row r="59" spans="1:15" ht="14.25" customHeight="1">
      <c r="A59" s="139"/>
      <c r="B59" s="139"/>
      <c r="C59" s="139"/>
      <c r="D59" s="139"/>
      <c r="E59" s="139"/>
      <c r="I59" s="176"/>
      <c r="J59" s="176"/>
      <c r="K59" s="176"/>
      <c r="L59" s="176"/>
      <c r="M59" s="176"/>
      <c r="N59" s="176"/>
    </row>
    <row r="60" spans="1:15" ht="14.25" customHeight="1">
      <c r="A60" s="573" t="s">
        <v>1483</v>
      </c>
      <c r="B60" s="573"/>
      <c r="C60" s="573"/>
      <c r="D60" s="573"/>
      <c r="E60" s="466" t="s">
        <v>89</v>
      </c>
      <c r="H60" s="176"/>
      <c r="I60" s="176"/>
      <c r="J60" s="176"/>
      <c r="K60" s="176"/>
      <c r="L60" s="176"/>
      <c r="M60" s="176"/>
      <c r="N60" s="176"/>
    </row>
    <row r="61" spans="1:15">
      <c r="A61" s="177"/>
      <c r="B61" s="177"/>
      <c r="C61" s="178"/>
      <c r="D61" s="177"/>
      <c r="E61" s="179"/>
      <c r="L61" s="180" t="s">
        <v>88</v>
      </c>
    </row>
    <row r="62" spans="1:15">
      <c r="A62" s="574" t="s">
        <v>1582</v>
      </c>
      <c r="B62" s="574"/>
      <c r="C62" s="574"/>
      <c r="D62" s="574"/>
      <c r="E62" s="466" t="s">
        <v>89</v>
      </c>
    </row>
    <row r="63" spans="1:15">
      <c r="A63" s="181"/>
      <c r="B63" s="181"/>
      <c r="C63" s="182"/>
      <c r="D63" s="181"/>
      <c r="E63" s="179"/>
    </row>
    <row r="64" spans="1:15">
      <c r="A64" s="573" t="s">
        <v>1484</v>
      </c>
      <c r="B64" s="573"/>
      <c r="C64" s="573"/>
      <c r="D64" s="573"/>
      <c r="E64" s="466" t="s">
        <v>88</v>
      </c>
    </row>
    <row r="65" spans="1:10">
      <c r="A65" s="183"/>
      <c r="B65" s="183"/>
      <c r="C65" s="183"/>
      <c r="D65" s="183"/>
      <c r="E65" s="184"/>
    </row>
    <row r="66" spans="1:10" ht="19" customHeight="1">
      <c r="A66" s="139"/>
      <c r="B66" s="179"/>
      <c r="C66" s="581" t="s">
        <v>1544</v>
      </c>
      <c r="D66" s="582"/>
      <c r="E66" s="582"/>
      <c r="F66" s="582"/>
      <c r="G66" s="583"/>
      <c r="I66" s="570" t="s">
        <v>1552</v>
      </c>
      <c r="J66" s="570"/>
    </row>
    <row r="67" spans="1:10" ht="35.25" customHeight="1" thickBot="1">
      <c r="A67" s="185" t="s">
        <v>1485</v>
      </c>
      <c r="B67" s="186"/>
      <c r="C67" s="187" t="s">
        <v>1545</v>
      </c>
      <c r="D67" s="188" t="s">
        <v>1546</v>
      </c>
      <c r="E67" s="188" t="s">
        <v>1547</v>
      </c>
      <c r="F67" s="187" t="s">
        <v>1548</v>
      </c>
      <c r="G67" s="187" t="s">
        <v>1549</v>
      </c>
      <c r="H67" s="189"/>
      <c r="I67" s="570"/>
      <c r="J67" s="570"/>
    </row>
    <row r="68" spans="1:10" ht="15" customHeight="1" thickTop="1">
      <c r="A68" s="462" t="s">
        <v>1486</v>
      </c>
      <c r="B68" s="191" t="str">
        <f>IF(AND($E$60="Yes",$E$64="Yes"),"Possible Solution","NA")</f>
        <v>NA</v>
      </c>
      <c r="C68" s="192" t="str">
        <f>IF(B68="Possible Solution","Yes", " ")</f>
        <v xml:space="preserve"> </v>
      </c>
      <c r="D68" s="192" t="str">
        <f>IF(B68="Possible Solution","Yes", " ")</f>
        <v xml:space="preserve"> </v>
      </c>
      <c r="E68" s="192" t="str">
        <f>IF(B68="Possible Solution","Maybe", " ")</f>
        <v xml:space="preserve"> </v>
      </c>
      <c r="F68" s="192"/>
      <c r="G68" s="192" t="str">
        <f>IF(B68="Possible Solution","Maybe", " ")</f>
        <v xml:space="preserve"> </v>
      </c>
      <c r="H68" s="193"/>
      <c r="I68" s="570"/>
      <c r="J68" s="570"/>
    </row>
    <row r="69" spans="1:10" ht="14.25" customHeight="1">
      <c r="A69" s="462" t="s">
        <v>1488</v>
      </c>
      <c r="B69" s="194" t="str">
        <f>IF(AND($E$60="Yes",$E$64="Yes"),"Possible Solution","NA")</f>
        <v>NA</v>
      </c>
      <c r="C69" s="195" t="str">
        <f>IF(B69="Possible Solution","Yes", " ")</f>
        <v xml:space="preserve"> </v>
      </c>
      <c r="D69" s="195" t="str">
        <f>IF(B69="Possible Solution","Yes", " ")</f>
        <v xml:space="preserve"> </v>
      </c>
      <c r="E69" s="195" t="str">
        <f>IF(B69="Possible Solution","Maybe", " ")</f>
        <v xml:space="preserve"> </v>
      </c>
      <c r="F69" s="195" t="str">
        <f>IF(B69="Possible Solution","Yes", " ")</f>
        <v xml:space="preserve"> </v>
      </c>
      <c r="G69" s="195" t="str">
        <f>IF(B69="Possible Solution","Maybe", " ")</f>
        <v xml:space="preserve"> </v>
      </c>
      <c r="H69" s="193"/>
      <c r="I69" s="570"/>
      <c r="J69" s="570"/>
    </row>
    <row r="70" spans="1:10" ht="14.25" customHeight="1">
      <c r="A70" s="63" t="s">
        <v>1489</v>
      </c>
      <c r="B70" s="194" t="str">
        <f>IF(AND(E60="no",E64="yes"),"Possible Solution","NA")</f>
        <v>Possible Solution</v>
      </c>
      <c r="C70" s="195" t="str">
        <f>IF(B70="Possible Solution","Yes", " ")</f>
        <v>Yes</v>
      </c>
      <c r="D70" s="195" t="str">
        <f>IF(B70="Possible Solution","Yes", " ")</f>
        <v>Yes</v>
      </c>
      <c r="E70" s="195" t="str">
        <f>IF(B70="Possible Solution","Maybe", " ")</f>
        <v>Maybe</v>
      </c>
      <c r="F70" s="195" t="str">
        <f>IF(B70="Possible Solution","Yes", " ")</f>
        <v>Yes</v>
      </c>
      <c r="G70" s="195" t="str">
        <f>IF(B70="Possible Solution","Maybe", " ")</f>
        <v>Maybe</v>
      </c>
      <c r="H70" s="193"/>
      <c r="I70" s="570"/>
      <c r="J70" s="570"/>
    </row>
    <row r="71" spans="1:10" ht="14.25" customHeight="1">
      <c r="A71" s="462" t="s">
        <v>1550</v>
      </c>
      <c r="B71" s="194" t="str">
        <f>IF(AND(E60="yes",E64="yes"),"Possible Solution","NA")</f>
        <v>NA</v>
      </c>
      <c r="C71" s="195" t="str">
        <f>IF(B71="Possible Solution","Yes-claims", " ")</f>
        <v xml:space="preserve"> </v>
      </c>
      <c r="D71" s="195" t="str">
        <f>IF(B71="Possible Solution","Yes", " ")</f>
        <v xml:space="preserve"> </v>
      </c>
      <c r="E71" s="195"/>
      <c r="F71" s="196"/>
      <c r="G71" s="196"/>
      <c r="H71" s="193"/>
      <c r="I71" s="570"/>
      <c r="J71" s="570"/>
    </row>
    <row r="72" spans="1:10" ht="14.25" customHeight="1">
      <c r="A72" s="63" t="s">
        <v>1492</v>
      </c>
      <c r="B72" s="194" t="str">
        <f>IF(AND(E60="no",E64="yes"),"Possible Solution", "NA")</f>
        <v>Possible Solution</v>
      </c>
      <c r="C72" s="195" t="str">
        <f>IF(B72="Possible Solution","Yes-claims", " ")</f>
        <v>Yes-claims</v>
      </c>
      <c r="D72" s="195" t="str">
        <f>IF(B72="Possible Solution","Yes", " ")</f>
        <v>Yes</v>
      </c>
      <c r="E72" s="195" t="str">
        <f>IF(B72="Possible Solution","TBD*", " ")</f>
        <v>TBD*</v>
      </c>
      <c r="F72" s="195" t="str">
        <f>IF(B72="Possible Solution","TBD*", " ")</f>
        <v>TBD*</v>
      </c>
      <c r="G72" s="195" t="str">
        <f>IF(B72="Possible Solution","TBD*", " ")</f>
        <v>TBD*</v>
      </c>
      <c r="H72" s="193"/>
      <c r="I72" s="570"/>
      <c r="J72" s="570"/>
    </row>
    <row r="73" spans="1:10" ht="14.25" customHeight="1">
      <c r="A73" s="462" t="s">
        <v>1493</v>
      </c>
      <c r="B73" s="194" t="str">
        <f>IF(AND($E$60="no",$E$64="No"),"Possible Solution","NA")</f>
        <v>NA</v>
      </c>
      <c r="C73" s="195"/>
      <c r="D73" s="195"/>
      <c r="E73" s="195"/>
      <c r="F73" s="196"/>
      <c r="G73" s="195" t="str">
        <f>IF(B73="Possible Solution","Yes", " ")</f>
        <v xml:space="preserve"> </v>
      </c>
      <c r="H73" s="193"/>
      <c r="I73" s="570"/>
      <c r="J73" s="570"/>
    </row>
    <row r="74" spans="1:10" ht="14.25" customHeight="1">
      <c r="A74" s="462" t="s">
        <v>1495</v>
      </c>
      <c r="B74" s="194" t="str">
        <f>IF(AND(E60="no",E64="yes"),"Possible Solution","NA")</f>
        <v>Possible Solution</v>
      </c>
      <c r="C74" s="195" t="str">
        <f>IF(B74="Possible Solution","Yes", " ")</f>
        <v>Yes</v>
      </c>
      <c r="D74" s="195" t="str">
        <f>IF(B74="Possible Solution","Yes", " ")</f>
        <v>Yes</v>
      </c>
      <c r="E74" s="195" t="str">
        <f>IF(B74="Possible Solution","Maybe", " ")</f>
        <v>Maybe</v>
      </c>
      <c r="F74" s="195" t="str">
        <f>IF(B74="Possible Solution","Yes", " ")</f>
        <v>Yes</v>
      </c>
      <c r="G74" s="195" t="str">
        <f>IF(B74="Possible Solution","Maybe", " ")</f>
        <v>Maybe</v>
      </c>
      <c r="H74" s="193"/>
      <c r="I74" s="197"/>
      <c r="J74" s="197"/>
    </row>
    <row r="75" spans="1:10" ht="14.25" customHeight="1">
      <c r="A75" s="462" t="s">
        <v>1497</v>
      </c>
      <c r="B75" s="194" t="str">
        <f>IF(AND($E$60="no",E62="Yes",$E$64="No"),"Possible Solution","NA")</f>
        <v>NA</v>
      </c>
      <c r="C75" s="195"/>
      <c r="D75" s="195" t="str">
        <f>IF(B75="Possible Solution","Yes", " ")</f>
        <v xml:space="preserve"> </v>
      </c>
      <c r="E75" s="195"/>
      <c r="F75" s="196"/>
      <c r="G75" s="195" t="str">
        <f>IF(B75="Possible Solution","Maybe", " ")</f>
        <v xml:space="preserve"> </v>
      </c>
      <c r="H75" s="193"/>
      <c r="I75" s="571" t="s">
        <v>1553</v>
      </c>
      <c r="J75" s="571"/>
    </row>
    <row r="76" spans="1:10" ht="15" customHeight="1">
      <c r="A76" s="63" t="s">
        <v>1499</v>
      </c>
      <c r="B76" s="198" t="str">
        <f>IF(AND(E60="no",E62="yes",E64="yes"),"Possible Solution","NA")</f>
        <v>NA</v>
      </c>
      <c r="C76" s="195" t="str">
        <f>IF(B76="Possible Solution","Yes", " ")</f>
        <v xml:space="preserve"> </v>
      </c>
      <c r="D76" s="195" t="str">
        <f>IF(B76="Possible Solution","Yes", " ")</f>
        <v xml:space="preserve"> </v>
      </c>
      <c r="E76" s="195" t="str">
        <f>IF(B76="Possible Solution","TBD*", " ")</f>
        <v xml:space="preserve"> </v>
      </c>
      <c r="F76" s="195" t="str">
        <f>IF(B76="Possible Solution","TBD*", " ")</f>
        <v xml:space="preserve"> </v>
      </c>
      <c r="G76" s="195" t="str">
        <f>IF(B76="Possible Solution","Maybe", " ")</f>
        <v xml:space="preserve"> </v>
      </c>
      <c r="H76" s="199"/>
      <c r="I76" s="571"/>
      <c r="J76" s="571"/>
    </row>
    <row r="77" spans="1:10" ht="14.25" customHeight="1">
      <c r="A77" s="462" t="s">
        <v>1501</v>
      </c>
      <c r="B77" s="198" t="str">
        <f>IF(AND(+$E$60="no",$E$62="no",E64="no"),"Possible Solution","NA")</f>
        <v>NA</v>
      </c>
      <c r="C77" s="195"/>
      <c r="D77" s="195"/>
      <c r="E77" s="195"/>
      <c r="F77" s="196"/>
      <c r="G77" s="195"/>
      <c r="H77" s="199"/>
      <c r="I77" s="571"/>
      <c r="J77" s="571"/>
    </row>
    <row r="78" spans="1:10" ht="14.25" customHeight="1">
      <c r="A78" s="63" t="s">
        <v>1503</v>
      </c>
      <c r="B78" s="198" t="str">
        <f>IF(AND($E$60="no",$E$62="No",$E$64="yes"),"Possible Solution","NA")</f>
        <v>Possible Solution</v>
      </c>
      <c r="C78" s="195" t="str">
        <f>IF(B78="Possible Solution","Yes", " ")</f>
        <v>Yes</v>
      </c>
      <c r="D78" s="195" t="str">
        <f>IF(B78="Possible Solution","Yes", " ")</f>
        <v>Yes</v>
      </c>
      <c r="E78" s="195" t="str">
        <f>IF(B78="Possible Solution","TBD*", " ")</f>
        <v>TBD*</v>
      </c>
      <c r="F78" s="195" t="str">
        <f>IF(B78="Possible Solution","TBD*", " ")</f>
        <v>TBD*</v>
      </c>
      <c r="G78" s="195" t="str">
        <f>IF(B78="Possible Solution","TBD*", " ")</f>
        <v>TBD*</v>
      </c>
      <c r="H78" s="199"/>
      <c r="I78" s="571"/>
      <c r="J78" s="571"/>
    </row>
    <row r="79" spans="1:10" ht="14.25" customHeight="1">
      <c r="A79" s="462" t="s">
        <v>1505</v>
      </c>
      <c r="B79" s="198" t="str">
        <f>IF(AND(+$E$60="no",$E$62="no",E64="no"),"Possible Solution","NA")</f>
        <v>NA</v>
      </c>
      <c r="C79" s="195"/>
      <c r="D79" s="195"/>
      <c r="E79" s="195"/>
      <c r="F79" s="196"/>
      <c r="G79" s="195"/>
      <c r="H79" s="199"/>
      <c r="I79" s="571"/>
      <c r="J79" s="571"/>
    </row>
    <row r="80" spans="1:10" ht="14.25" customHeight="1">
      <c r="A80" s="63" t="s">
        <v>1506</v>
      </c>
      <c r="B80" s="198" t="str">
        <f>IF(AND($E$60="no",$E$62="No",$E$64="yes"),"Possible Solution","NA")</f>
        <v>Possible Solution</v>
      </c>
      <c r="C80" s="195" t="str">
        <f>IF(B80="Possible Solution","Yes", " ")</f>
        <v>Yes</v>
      </c>
      <c r="D80" s="195" t="str">
        <f>IF(B80="Possible Solution","Yes", " ")</f>
        <v>Yes</v>
      </c>
      <c r="E80" s="195" t="str">
        <f>IF(B80="Possible Solution","TBD*", " ")</f>
        <v>TBD*</v>
      </c>
      <c r="F80" s="195" t="str">
        <f>IF(B80="Possible Solution","TBD*", " ")</f>
        <v>TBD*</v>
      </c>
      <c r="G80" s="195" t="str">
        <f>IF(B80="Possible Solution","TBD*", " ")</f>
        <v>TBD*</v>
      </c>
      <c r="H80" s="199"/>
      <c r="I80" s="200"/>
      <c r="J80" s="200"/>
    </row>
    <row r="81" spans="1:10">
      <c r="A81" s="190"/>
      <c r="B81" s="201"/>
      <c r="D81" s="149"/>
      <c r="E81" s="149"/>
      <c r="H81" s="202"/>
      <c r="I81" s="462" t="s">
        <v>1554</v>
      </c>
    </row>
    <row r="82" spans="1:10">
      <c r="A82" s="141" t="s">
        <v>1551</v>
      </c>
      <c r="B82" s="201"/>
      <c r="D82" s="149"/>
      <c r="E82" s="149"/>
      <c r="H82" s="202"/>
    </row>
    <row r="84" spans="1:10" ht="14.25" customHeight="1">
      <c r="A84" s="190"/>
      <c r="B84" s="201"/>
      <c r="C84" s="203"/>
      <c r="D84" s="149"/>
      <c r="E84" s="572" t="s">
        <v>1577</v>
      </c>
      <c r="F84" s="572"/>
      <c r="G84" s="572"/>
      <c r="H84" s="204"/>
      <c r="I84" s="204"/>
      <c r="J84" s="204"/>
    </row>
    <row r="85" spans="1:10">
      <c r="E85" s="572"/>
      <c r="F85" s="572"/>
      <c r="G85" s="572"/>
      <c r="H85" s="204"/>
      <c r="I85" s="204"/>
      <c r="J85" s="204"/>
    </row>
    <row r="86" spans="1:10">
      <c r="E86" s="572"/>
      <c r="F86" s="572"/>
      <c r="G86" s="572"/>
      <c r="H86" s="204"/>
      <c r="I86" s="204"/>
      <c r="J86" s="204"/>
    </row>
    <row r="87" spans="1:10" ht="16">
      <c r="A87" s="205"/>
      <c r="B87" s="205"/>
      <c r="C87" s="205"/>
      <c r="D87" s="205"/>
      <c r="E87" s="204"/>
      <c r="F87" s="204"/>
      <c r="G87" s="204"/>
      <c r="H87" s="204"/>
      <c r="I87" s="204"/>
      <c r="J87" s="204"/>
    </row>
    <row r="88" spans="1:10">
      <c r="B88" s="201"/>
      <c r="C88" s="203"/>
      <c r="D88" s="206"/>
      <c r="E88" s="579" t="s">
        <v>1578</v>
      </c>
      <c r="F88" s="579"/>
      <c r="G88" s="579"/>
      <c r="H88" s="130"/>
      <c r="I88" s="130"/>
      <c r="J88" s="130"/>
    </row>
    <row r="89" spans="1:10">
      <c r="B89" s="201"/>
      <c r="C89" s="203"/>
      <c r="D89" s="149"/>
      <c r="E89" s="579"/>
      <c r="F89" s="579"/>
      <c r="G89" s="579"/>
      <c r="H89" s="130"/>
      <c r="I89" s="130"/>
      <c r="J89" s="130"/>
    </row>
    <row r="90" spans="1:10" ht="14.25" hidden="1" customHeight="1">
      <c r="A90" s="576" t="s">
        <v>136</v>
      </c>
      <c r="B90" s="544"/>
      <c r="C90" s="207"/>
      <c r="D90" s="167" t="s">
        <v>1</v>
      </c>
      <c r="E90" s="579"/>
      <c r="F90" s="579"/>
      <c r="G90" s="579"/>
      <c r="H90" s="130"/>
      <c r="I90" s="130"/>
      <c r="J90" s="130"/>
    </row>
    <row r="91" spans="1:10" ht="14.25" hidden="1" customHeight="1">
      <c r="A91" s="576" t="s">
        <v>137</v>
      </c>
      <c r="B91" s="544"/>
      <c r="C91" s="207"/>
      <c r="D91" s="167" t="s">
        <v>1</v>
      </c>
      <c r="E91" s="579"/>
      <c r="F91" s="579"/>
      <c r="G91" s="579"/>
      <c r="H91" s="130"/>
      <c r="I91" s="130"/>
      <c r="J91" s="130"/>
    </row>
    <row r="92" spans="1:10" ht="14.25" hidden="1" customHeight="1">
      <c r="A92" s="577" t="s">
        <v>142</v>
      </c>
      <c r="B92" s="578"/>
      <c r="C92" s="207"/>
      <c r="D92" s="167" t="s">
        <v>1</v>
      </c>
      <c r="E92" s="579"/>
      <c r="F92" s="579"/>
      <c r="G92" s="579"/>
      <c r="H92" s="130"/>
      <c r="I92" s="130"/>
      <c r="J92" s="130"/>
    </row>
    <row r="93" spans="1:10" ht="28" hidden="1" customHeight="1">
      <c r="A93" s="208" t="s">
        <v>153</v>
      </c>
      <c r="B93" s="128"/>
      <c r="C93" s="207"/>
      <c r="D93" s="167" t="s">
        <v>138</v>
      </c>
      <c r="E93" s="579"/>
      <c r="F93" s="579"/>
      <c r="G93" s="579"/>
      <c r="H93" s="130"/>
      <c r="I93" s="130"/>
      <c r="J93" s="130"/>
    </row>
    <row r="94" spans="1:10" ht="14.25" hidden="1" customHeight="1">
      <c r="A94" s="126" t="s">
        <v>152</v>
      </c>
      <c r="C94" s="207"/>
      <c r="D94" s="167" t="s">
        <v>1</v>
      </c>
      <c r="E94" s="579"/>
      <c r="F94" s="579"/>
      <c r="G94" s="579"/>
      <c r="H94" s="130"/>
      <c r="I94" s="130"/>
      <c r="J94" s="130"/>
    </row>
    <row r="95" spans="1:10" ht="14.25" hidden="1" customHeight="1">
      <c r="D95" s="167" t="s">
        <v>1</v>
      </c>
      <c r="E95" s="579"/>
      <c r="F95" s="579"/>
      <c r="G95" s="579"/>
      <c r="H95" s="130"/>
      <c r="I95" s="130"/>
      <c r="J95" s="130"/>
    </row>
    <row r="96" spans="1:10" ht="14.25" hidden="1" customHeight="1">
      <c r="A96" s="126" t="s">
        <v>126</v>
      </c>
      <c r="D96" s="167" t="s">
        <v>1</v>
      </c>
      <c r="E96" s="579"/>
      <c r="F96" s="579"/>
      <c r="G96" s="579"/>
      <c r="H96" s="130"/>
      <c r="I96" s="130"/>
      <c r="J96" s="130"/>
    </row>
    <row r="97" spans="1:10" ht="14.25" hidden="1" customHeight="1">
      <c r="A97" s="126" t="s">
        <v>1579</v>
      </c>
      <c r="D97" s="167" t="s">
        <v>1</v>
      </c>
      <c r="E97" s="579"/>
      <c r="F97" s="579"/>
      <c r="G97" s="579"/>
      <c r="H97" s="130"/>
      <c r="I97" s="130"/>
      <c r="J97" s="130"/>
    </row>
    <row r="98" spans="1:10" ht="14.25" hidden="1" customHeight="1">
      <c r="A98" s="126" t="s">
        <v>1580</v>
      </c>
      <c r="E98" s="579"/>
      <c r="F98" s="579"/>
      <c r="G98" s="579"/>
      <c r="H98" s="130"/>
      <c r="I98" s="130"/>
      <c r="J98" s="130"/>
    </row>
    <row r="99" spans="1:10" ht="14.25" hidden="1" customHeight="1">
      <c r="E99" s="579"/>
      <c r="F99" s="579"/>
      <c r="G99" s="579"/>
      <c r="H99" s="130"/>
      <c r="I99" s="130"/>
      <c r="J99" s="130"/>
    </row>
    <row r="100" spans="1:10" ht="14.25" hidden="1" customHeight="1">
      <c r="A100" s="126" t="s">
        <v>132</v>
      </c>
      <c r="E100" s="579"/>
      <c r="F100" s="579"/>
      <c r="G100" s="579"/>
      <c r="H100" s="130"/>
      <c r="I100" s="130"/>
      <c r="J100" s="130"/>
    </row>
    <row r="101" spans="1:10" ht="14.25" hidden="1" customHeight="1">
      <c r="E101" s="579"/>
      <c r="F101" s="579"/>
      <c r="G101" s="579"/>
      <c r="H101" s="130"/>
      <c r="I101" s="130"/>
      <c r="J101" s="130"/>
    </row>
    <row r="102" spans="1:10" ht="14.25" hidden="1" customHeight="1">
      <c r="A102" s="126" t="s">
        <v>133</v>
      </c>
      <c r="E102" s="579"/>
      <c r="F102" s="579"/>
      <c r="G102" s="579"/>
      <c r="H102" s="130"/>
      <c r="I102" s="130"/>
      <c r="J102" s="130"/>
    </row>
    <row r="103" spans="1:10" ht="14.25" hidden="1" customHeight="1">
      <c r="E103" s="579"/>
      <c r="F103" s="579"/>
      <c r="G103" s="579"/>
      <c r="H103" s="130"/>
      <c r="I103" s="130"/>
      <c r="J103" s="130"/>
    </row>
    <row r="104" spans="1:10">
      <c r="E104" s="579"/>
      <c r="F104" s="579"/>
      <c r="G104" s="579"/>
      <c r="H104" s="130"/>
      <c r="I104" s="130"/>
      <c r="J104" s="130"/>
    </row>
    <row r="105" spans="1:10">
      <c r="E105" s="579"/>
      <c r="F105" s="579"/>
      <c r="G105" s="579"/>
      <c r="H105" s="130"/>
      <c r="I105" s="130"/>
      <c r="J105" s="130"/>
    </row>
    <row r="106" spans="1:10">
      <c r="E106" s="579"/>
      <c r="F106" s="579"/>
      <c r="G106" s="579"/>
      <c r="H106" s="130"/>
      <c r="I106" s="130"/>
      <c r="J106" s="130"/>
    </row>
    <row r="107" spans="1:10">
      <c r="E107" s="579"/>
      <c r="F107" s="579"/>
      <c r="G107" s="579"/>
      <c r="H107" s="130"/>
      <c r="I107" s="130"/>
      <c r="J107" s="130"/>
    </row>
    <row r="108" spans="1:10">
      <c r="E108" s="491"/>
      <c r="F108" s="491"/>
      <c r="G108" s="491"/>
      <c r="H108" s="130"/>
      <c r="I108" s="130"/>
      <c r="J108" s="130"/>
    </row>
    <row r="109" spans="1:10">
      <c r="E109" s="209"/>
      <c r="F109" s="209"/>
      <c r="G109" s="209"/>
      <c r="H109" s="130"/>
      <c r="I109" s="130"/>
      <c r="J109" s="130"/>
    </row>
    <row r="120" spans="1:10">
      <c r="A120" s="575"/>
      <c r="B120" s="575"/>
      <c r="C120" s="575"/>
      <c r="D120" s="575"/>
      <c r="E120" s="575"/>
      <c r="F120" s="575"/>
      <c r="G120" s="575"/>
      <c r="H120" s="575"/>
      <c r="I120" s="135"/>
      <c r="J120" s="135"/>
    </row>
  </sheetData>
  <sheetProtection algorithmName="SHA-512" hashValue="FD5Rl++avTmhf8qx1WKFTaxtshnSiC9VZCqAqGY6M8fVS2Z08ZhWkako5hoaId0K6KsfnVPP40XXcCPaWZ0XhA==" saltValue="gCiAwJR0x/UAL/2Pv+wRhw==" spinCount="100000" sheet="1" selectLockedCells="1"/>
  <mergeCells count="24">
    <mergeCell ref="B1:D1"/>
    <mergeCell ref="A120:H120"/>
    <mergeCell ref="A90:B90"/>
    <mergeCell ref="A91:B91"/>
    <mergeCell ref="A92:B92"/>
    <mergeCell ref="E88:G108"/>
    <mergeCell ref="A58:E58"/>
    <mergeCell ref="C66:G66"/>
    <mergeCell ref="A12:G12"/>
    <mergeCell ref="C13:E13"/>
    <mergeCell ref="A30:H30"/>
    <mergeCell ref="A56:H56"/>
    <mergeCell ref="A37:C37"/>
    <mergeCell ref="A38:C38"/>
    <mergeCell ref="A46:C46"/>
    <mergeCell ref="A47:C47"/>
    <mergeCell ref="A11:H11"/>
    <mergeCell ref="A54:C54"/>
    <mergeCell ref="I66:J73"/>
    <mergeCell ref="I75:J79"/>
    <mergeCell ref="E84:G86"/>
    <mergeCell ref="A60:D60"/>
    <mergeCell ref="A62:D62"/>
    <mergeCell ref="A64:D64"/>
  </mergeCells>
  <hyperlinks>
    <hyperlink ref="A123" r:id="rId1" location="mbcontracts" display="Milestone-based contract" xr:uid="{00000000-0004-0000-0800-000000000000}"/>
    <hyperlink ref="A124" r:id="rId2" location="mymbcontracts" display="Multi-year milestone-based contract" xr:uid="{00000000-0004-0000-0800-000001000000}"/>
    <hyperlink ref="A125" r:id="rId3" location="pbannuities" display="Performance-based Annuity" xr:uid="{00000000-0004-0000-0800-000002000000}"/>
    <hyperlink ref="A126" r:id="rId4" location="installment" display="Payment over time/Installment financing" xr:uid="{00000000-0004-0000-0800-000003000000}"/>
    <hyperlink ref="A127" r:id="rId5" location="reinsurance" display="Reinsurance/Stop Loss Insurance" xr:uid="{00000000-0004-0000-0800-000004000000}"/>
    <hyperlink ref="A128" r:id="rId6" location="risk" display="Risk Pool" xr:uid="{00000000-0004-0000-0800-000005000000}"/>
    <hyperlink ref="A129" r:id="rId7" location="orbm" display="Orphan Risk and Benefit Manager (ORBM)" xr:uid="{00000000-0004-0000-0800-000006000000}"/>
    <hyperlink ref="A136" r:id="rId8" location="tracking" display="Outcomes Tracking over Time" xr:uid="{00000000-0004-0000-0800-000007000000}"/>
    <hyperlink ref="A137" r:id="rId9" location="mobility" display="Patient Mobility" xr:uid="{00000000-0004-0000-0800-000008000000}"/>
    <hyperlink ref="A139" r:id="rId10" location="accreditation" display="Provider Certification and/or Centers of Excellence" xr:uid="{00000000-0004-0000-0800-000009000000}"/>
    <hyperlink ref="A140" r:id="rId11" location="oosn" display="Out-of-State Networks" xr:uid="{00000000-0004-0000-0800-00000A000000}"/>
    <hyperlink ref="A142" r:id="rId12" location="bb" display="Buy and Bill" xr:uid="{00000000-0004-0000-0800-00000B000000}"/>
    <hyperlink ref="A143" r:id="rId13" location="provider" display="Provider Financial Implications" xr:uid="{00000000-0004-0000-0800-00000C000000}"/>
    <hyperlink ref="A145" r:id="rId14" location="spa" display="State Plan Amendments" xr:uid="{00000000-0004-0000-0800-00000D000000}"/>
    <hyperlink ref="A146" r:id="rId15" location="patient" display="Patient financial implications" xr:uid="{00000000-0004-0000-0800-00000E000000}"/>
    <hyperlink ref="A68" r:id="rId16" location="mbcontracts" xr:uid="{4F03D432-EC41-8C4B-AD60-92248FA9C992}"/>
    <hyperlink ref="A69" r:id="rId17" location="mymbcontracts" xr:uid="{DC6AD1FD-EB32-EF4C-A103-8CC581ACE3BC}"/>
    <hyperlink ref="A71" r:id="rId18" location="warranty" xr:uid="{B780AD95-0266-1B44-98A6-BB977083C389}"/>
    <hyperlink ref="A73" r:id="rId19" location="installment" xr:uid="{FB991179-F6E6-484A-B566-7357B49ED7A9}"/>
    <hyperlink ref="A74" r:id="rId20" location="pbannuities" xr:uid="{6CED4F35-1D57-E641-B2F3-D30011F4D53C}"/>
    <hyperlink ref="A75" r:id="rId21" location="subscription" xr:uid="{3B2D0EAD-FD26-7043-9406-0FE0EA0CA71F}"/>
    <hyperlink ref="A77" r:id="rId22" location="reinsurance" xr:uid="{CE72525A-6E2C-F04C-B922-8F703D216E6A}"/>
    <hyperlink ref="A79" r:id="rId23" location="risk" xr:uid="{2D184CA2-0DF1-0D42-A797-D635C982FC1D}"/>
    <hyperlink ref="I81" r:id="rId24" xr:uid="{9C61F0D7-7FD3-DF49-AD98-6C26A442D8F9}"/>
    <hyperlink ref="A11" r:id="rId25" xr:uid="{3A96B00A-A8B3-7342-9790-75EF12DFF2E5}"/>
    <hyperlink ref="A11:H11" r:id="rId26" display="Detailed instructions on completing  this worksheet tool may be found here:  Individual Indication Workbook background" xr:uid="{2C5BD197-0C24-1149-BC40-F757D6F3203E}"/>
  </hyperlinks>
  <pageMargins left="0.7" right="0.7" top="0.75" bottom="0.75" header="0.3" footer="0.3"/>
  <pageSetup scale="56" fitToHeight="0" orientation="landscape" horizontalDpi="1200" verticalDpi="1200" r:id="rId27"/>
  <headerFooter>
    <oddFooter>&amp;CSubject to Terms of Use
MIT CENTER FOR BIOMEDICAL INNOVATION
NEWDIGS/FoCUS</oddFooter>
  </headerFooter>
  <rowBreaks count="2" manualBreakCount="2">
    <brk id="75" max="10" man="1"/>
    <brk id="110" max="10" man="1"/>
  </rowBreaks>
  <drawing r:id="rId28"/>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'/Users/ericnorman/Library/Containers/com.microsoft.Excel/Data/Documents/Users\ericnorman\Library\Containers\com.microsoft.Excel\Data\Documents\C:\Users\karengeary\Downloads\[PayerAssessIndivIndic-unprotected_10-6-21_cmy_Karen-V3.xlsm]Hidden Drop Down Lists'!#REF!</xm:f>
          </x14:formula1>
          <xm:sqref>C90</xm:sqref>
        </x14:dataValidation>
        <x14:dataValidation type="list" allowBlank="1" showInputMessage="1" showErrorMessage="1" xr:uid="{00000000-0002-0000-0800-000001000000}">
          <x14:formula1>
            <xm:f>'/Users/ericnorman/Library/Containers/com.microsoft.Excel/Data/Documents/Users\ericnorman\Library\Containers\com.microsoft.Excel\Data\Documents\C:\Users\karengeary\Downloads\[PayerAssessIndivIndic-unprotected_10-6-21_cmy_Karen-V3.xlsm]Hidden Drop Down Lists'!#REF!</xm:f>
          </x14:formula1>
          <xm:sqref>C87:C89 C91:C94</xm:sqref>
        </x14:dataValidation>
        <x14:dataValidation type="list" allowBlank="1" showInputMessage="1" showErrorMessage="1" xr:uid="{00000000-0002-0000-0800-000002000000}">
          <x14:formula1>
            <xm:f>'Hidden Drop Down Lists'!$A$5:$A$6</xm:f>
          </x14:formula1>
          <xm:sqref>D37:D38 D46:D47 D54 E62 E64 E60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L38"/>
  <sheetViews>
    <sheetView workbookViewId="0">
      <selection activeCell="L29" sqref="L29"/>
    </sheetView>
  </sheetViews>
  <sheetFormatPr baseColWidth="10" defaultColWidth="8.83203125" defaultRowHeight="15"/>
  <cols>
    <col min="1" max="1" width="26.5" customWidth="1"/>
    <col min="2" max="2" width="15.83203125" customWidth="1"/>
    <col min="3" max="3" width="22.5" customWidth="1"/>
    <col min="4" max="4" width="18.5" customWidth="1"/>
    <col min="5" max="5" width="27.1640625" style="120" customWidth="1"/>
    <col min="6" max="6" width="8.83203125" style="63"/>
    <col min="7" max="7" width="29.5" bestFit="1" customWidth="1"/>
    <col min="9" max="9" width="23.5" customWidth="1"/>
    <col min="12" max="12" width="41.6640625" customWidth="1"/>
  </cols>
  <sheetData>
    <row r="2" spans="1:12">
      <c r="A2" s="1" t="s">
        <v>34</v>
      </c>
      <c r="L2" s="3" t="s">
        <v>2463</v>
      </c>
    </row>
    <row r="4" spans="1:12" ht="14.5" customHeight="1">
      <c r="A4" s="96" t="s">
        <v>20</v>
      </c>
      <c r="C4" s="112" t="s">
        <v>24</v>
      </c>
      <c r="G4" s="97" t="s">
        <v>23</v>
      </c>
      <c r="I4" s="97" t="s">
        <v>8</v>
      </c>
      <c r="L4" s="471" t="s">
        <v>2464</v>
      </c>
    </row>
    <row r="5" spans="1:12">
      <c r="A5" s="2" t="s">
        <v>88</v>
      </c>
      <c r="C5" s="99" t="s">
        <v>32</v>
      </c>
      <c r="G5" s="5" t="s">
        <v>3</v>
      </c>
      <c r="I5" s="5" t="s">
        <v>7</v>
      </c>
    </row>
    <row r="6" spans="1:12">
      <c r="A6" s="2" t="s">
        <v>89</v>
      </c>
      <c r="C6" s="100" t="s">
        <v>10</v>
      </c>
      <c r="G6" s="6" t="s">
        <v>33</v>
      </c>
      <c r="I6" s="6" t="s">
        <v>135</v>
      </c>
    </row>
    <row r="7" spans="1:12">
      <c r="I7" s="5" t="s">
        <v>117</v>
      </c>
    </row>
    <row r="8" spans="1:12">
      <c r="A8" s="96" t="s">
        <v>90</v>
      </c>
      <c r="I8" s="6" t="s">
        <v>118</v>
      </c>
    </row>
    <row r="9" spans="1:12" ht="16">
      <c r="A9" s="12" t="s">
        <v>91</v>
      </c>
      <c r="C9" s="98" t="s">
        <v>44</v>
      </c>
      <c r="D9" s="101" t="s">
        <v>1521</v>
      </c>
      <c r="E9" s="124" t="s">
        <v>1568</v>
      </c>
      <c r="F9" s="66"/>
      <c r="G9" s="97" t="s">
        <v>100</v>
      </c>
      <c r="I9" s="5" t="s">
        <v>4</v>
      </c>
    </row>
    <row r="10" spans="1:12">
      <c r="A10" s="12" t="s">
        <v>92</v>
      </c>
      <c r="C10" s="116">
        <v>400000</v>
      </c>
      <c r="D10" s="12">
        <v>1</v>
      </c>
      <c r="E10" s="120" t="s">
        <v>1566</v>
      </c>
      <c r="G10" s="5" t="s">
        <v>101</v>
      </c>
      <c r="I10" s="6" t="s">
        <v>119</v>
      </c>
    </row>
    <row r="11" spans="1:12">
      <c r="C11" s="116">
        <v>1500000</v>
      </c>
      <c r="D11" s="12">
        <v>2</v>
      </c>
      <c r="E11" s="120" t="s">
        <v>1569</v>
      </c>
      <c r="G11" s="6" t="s">
        <v>107</v>
      </c>
    </row>
    <row r="12" spans="1:12">
      <c r="A12" s="96" t="s">
        <v>87</v>
      </c>
      <c r="C12" s="116">
        <v>800000</v>
      </c>
      <c r="D12" s="12">
        <v>3</v>
      </c>
      <c r="E12" s="68" t="s">
        <v>1564</v>
      </c>
      <c r="I12" s="97" t="s">
        <v>141</v>
      </c>
    </row>
    <row r="13" spans="1:12">
      <c r="A13" s="12" t="s">
        <v>5</v>
      </c>
      <c r="C13" s="116">
        <v>500000</v>
      </c>
      <c r="D13" s="12">
        <v>4</v>
      </c>
      <c r="E13" s="68" t="s">
        <v>1565</v>
      </c>
      <c r="I13" s="5" t="s">
        <v>139</v>
      </c>
    </row>
    <row r="14" spans="1:12">
      <c r="A14" s="12" t="s">
        <v>6</v>
      </c>
      <c r="C14" s="116">
        <v>800000</v>
      </c>
      <c r="D14" s="12">
        <v>5</v>
      </c>
      <c r="E14" s="68" t="s">
        <v>1585</v>
      </c>
      <c r="G14" s="97" t="s">
        <v>99</v>
      </c>
      <c r="I14" s="6" t="s">
        <v>140</v>
      </c>
    </row>
    <row r="15" spans="1:12">
      <c r="C15" s="116">
        <v>100000</v>
      </c>
      <c r="D15" s="12">
        <v>6</v>
      </c>
      <c r="E15" s="68" t="s">
        <v>1586</v>
      </c>
      <c r="G15" s="5" t="s">
        <v>102</v>
      </c>
    </row>
    <row r="16" spans="1:12">
      <c r="A16" s="9" t="s">
        <v>35</v>
      </c>
      <c r="C16" s="116">
        <v>50000</v>
      </c>
      <c r="D16" s="12">
        <v>7</v>
      </c>
      <c r="E16" s="68" t="s">
        <v>1567</v>
      </c>
      <c r="G16" s="6" t="s">
        <v>103</v>
      </c>
    </row>
    <row r="17" spans="1:9">
      <c r="B17" s="108" t="s">
        <v>1518</v>
      </c>
      <c r="C17" s="117">
        <f>INDEX(C10:C16,MATCH(D17,D10:D16,0),1)</f>
        <v>400000</v>
      </c>
      <c r="D17" s="109">
        <f>INDEX('Disease - Therapeutic Class'!C:C,MATCH('Population Estimator Tool'!C19,'Disease - Therapeutic Class'!B:B,0),1)</f>
        <v>1</v>
      </c>
      <c r="E17" s="109" t="str">
        <f>INDEX(E10:E16,MATCH(D17,D10:D16,0),1)</f>
        <v>CAR-T/TCR</v>
      </c>
      <c r="G17" s="17" t="s">
        <v>104</v>
      </c>
      <c r="I17" s="1"/>
    </row>
    <row r="18" spans="1:9">
      <c r="A18" s="96" t="s">
        <v>20</v>
      </c>
    </row>
    <row r="19" spans="1:9">
      <c r="A19" s="2" t="s">
        <v>5</v>
      </c>
      <c r="G19" s="97" t="s">
        <v>106</v>
      </c>
    </row>
    <row r="20" spans="1:9">
      <c r="A20" s="2" t="s">
        <v>6</v>
      </c>
      <c r="G20" s="5" t="s">
        <v>105</v>
      </c>
    </row>
    <row r="21" spans="1:9">
      <c r="G21" s="6" t="s">
        <v>45</v>
      </c>
    </row>
    <row r="22" spans="1:9">
      <c r="A22" s="96" t="s">
        <v>87</v>
      </c>
    </row>
    <row r="23" spans="1:9">
      <c r="A23" s="12" t="s">
        <v>88</v>
      </c>
    </row>
    <row r="24" spans="1:9">
      <c r="A24" s="12" t="s">
        <v>89</v>
      </c>
    </row>
    <row r="26" spans="1:9">
      <c r="A26" s="98" t="s">
        <v>1513</v>
      </c>
      <c r="B26" s="101" t="s">
        <v>1529</v>
      </c>
      <c r="C26" s="101" t="s">
        <v>1530</v>
      </c>
    </row>
    <row r="27" spans="1:9">
      <c r="A27" s="12" t="s">
        <v>1514</v>
      </c>
      <c r="B27" s="12">
        <v>1</v>
      </c>
      <c r="C27" s="12">
        <v>2</v>
      </c>
    </row>
    <row r="28" spans="1:9">
      <c r="A28" s="12" t="s">
        <v>1515</v>
      </c>
      <c r="B28" s="12">
        <v>3</v>
      </c>
      <c r="C28" s="12">
        <v>4</v>
      </c>
    </row>
    <row r="29" spans="1:9">
      <c r="A29" s="12" t="s">
        <v>1520</v>
      </c>
      <c r="B29" s="12">
        <v>5</v>
      </c>
      <c r="C29" s="12">
        <v>6</v>
      </c>
    </row>
    <row r="30" spans="1:9">
      <c r="A30" s="12" t="s">
        <v>1523</v>
      </c>
      <c r="B30" s="12">
        <v>7</v>
      </c>
      <c r="C30" s="12">
        <v>8</v>
      </c>
    </row>
    <row r="31" spans="1:9">
      <c r="A31" s="4" t="s">
        <v>1518</v>
      </c>
      <c r="B31" s="4">
        <f>INDEX(B27:B30,MATCH('Population Estimator Tool'!$B$37,$A$27:$A$30,0),1)</f>
        <v>3</v>
      </c>
      <c r="C31" s="4">
        <f>INDEX(C27:C30,MATCH('Population Estimator Tool'!$B$37,$A$27:$A$30,0),1)</f>
        <v>4</v>
      </c>
    </row>
    <row r="33" spans="1:3">
      <c r="A33" s="98" t="s">
        <v>1527</v>
      </c>
      <c r="B33" s="101" t="s">
        <v>1528</v>
      </c>
      <c r="C33" s="101" t="s">
        <v>1526</v>
      </c>
    </row>
    <row r="34" spans="1:3">
      <c r="A34" s="63" t="s">
        <v>1514</v>
      </c>
      <c r="B34" s="12">
        <v>1</v>
      </c>
      <c r="C34" s="113">
        <v>63200000</v>
      </c>
    </row>
    <row r="35" spans="1:3">
      <c r="A35" s="63" t="s">
        <v>1515</v>
      </c>
      <c r="B35" s="12">
        <v>2</v>
      </c>
      <c r="C35" s="113">
        <v>70225000</v>
      </c>
    </row>
    <row r="36" spans="1:3">
      <c r="A36" s="63" t="s">
        <v>1520</v>
      </c>
      <c r="B36" s="12">
        <v>3</v>
      </c>
      <c r="C36" s="114">
        <f>C37-C34-C35</f>
        <v>198075000</v>
      </c>
    </row>
    <row r="37" spans="1:3">
      <c r="A37" s="63" t="s">
        <v>1523</v>
      </c>
      <c r="B37" s="12">
        <v>4</v>
      </c>
      <c r="C37" s="114">
        <v>331500000</v>
      </c>
    </row>
    <row r="38" spans="1:3">
      <c r="A38" s="4" t="s">
        <v>1518</v>
      </c>
      <c r="B38" s="4">
        <f>INDEX(B34:B37,MATCH('Population Estimator Tool'!$B$37,$A$34:$A$37,0),1)</f>
        <v>2</v>
      </c>
      <c r="C38" s="115">
        <f>INDEX(C34:C37,MATCH('Population Estimator Tool'!$B$37,$A$34:$A$37,0),1)</f>
        <v>70225000</v>
      </c>
    </row>
  </sheetData>
  <pageMargins left="0.7" right="0.7" top="0.75" bottom="0.75" header="0.3" footer="0.3"/>
  <pageSetup orientation="portrait" horizontalDpi="4294967292" verticalDpi="4294967292"/>
  <tableParts count="5">
    <tablePart r:id="rId1"/>
    <tablePart r:id="rId2"/>
    <tablePart r:id="rId3"/>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D3:AB37"/>
  <sheetViews>
    <sheetView workbookViewId="0">
      <selection activeCell="AD20" sqref="AD20"/>
    </sheetView>
  </sheetViews>
  <sheetFormatPr baseColWidth="10" defaultColWidth="8.83203125" defaultRowHeight="15"/>
  <cols>
    <col min="1" max="16384" width="8.83203125" style="15"/>
  </cols>
  <sheetData>
    <row r="3" spans="4:28" ht="16" thickBot="1">
      <c r="D3" s="31"/>
      <c r="E3" s="31"/>
      <c r="F3" s="31"/>
      <c r="G3" s="31"/>
      <c r="H3" s="31"/>
      <c r="I3" s="31"/>
      <c r="M3" s="31"/>
      <c r="N3" s="31"/>
      <c r="O3" s="31"/>
      <c r="P3" s="31"/>
      <c r="Q3" s="31"/>
      <c r="R3" s="31"/>
      <c r="S3" s="31"/>
      <c r="T3" s="31"/>
      <c r="Y3" s="34" t="s">
        <v>1562</v>
      </c>
      <c r="Z3" s="34"/>
      <c r="AA3" s="34"/>
      <c r="AB3" s="31"/>
    </row>
    <row r="4" spans="4:28" ht="16" thickBot="1">
      <c r="D4" s="31"/>
      <c r="E4" s="32" t="s">
        <v>154</v>
      </c>
      <c r="F4" s="33"/>
      <c r="G4" s="31"/>
      <c r="H4" s="31"/>
      <c r="I4" s="31"/>
      <c r="M4" s="31"/>
      <c r="N4" s="32" t="s">
        <v>155</v>
      </c>
      <c r="O4" s="33"/>
      <c r="P4" s="31"/>
      <c r="Q4" s="31"/>
      <c r="R4" s="31"/>
      <c r="S4" s="31"/>
      <c r="T4" s="31"/>
      <c r="Y4" s="31"/>
      <c r="Z4" s="31"/>
      <c r="AA4" s="31"/>
      <c r="AB4" s="31"/>
    </row>
    <row r="5" spans="4:28">
      <c r="D5" s="31"/>
      <c r="E5" s="31"/>
      <c r="F5" s="31"/>
      <c r="G5" s="31"/>
      <c r="H5" s="31" t="s">
        <v>156</v>
      </c>
      <c r="I5" s="31"/>
      <c r="M5" s="31"/>
      <c r="N5" s="31"/>
      <c r="O5" s="31"/>
      <c r="P5" s="31"/>
      <c r="Q5" s="31"/>
      <c r="R5" s="31"/>
      <c r="S5" s="31"/>
      <c r="T5" s="31"/>
      <c r="Y5" s="31"/>
      <c r="Z5" s="122" t="s">
        <v>1487</v>
      </c>
      <c r="AA5" s="31"/>
      <c r="AB5" s="31"/>
    </row>
    <row r="6" spans="4:28">
      <c r="D6" s="31"/>
      <c r="E6" s="31" t="s">
        <v>157</v>
      </c>
      <c r="F6" s="31"/>
      <c r="G6" s="31"/>
      <c r="H6" s="31" t="s">
        <v>88</v>
      </c>
      <c r="I6" s="31"/>
      <c r="M6" s="31"/>
      <c r="N6" s="31"/>
      <c r="O6" s="31"/>
      <c r="P6" s="31"/>
      <c r="Q6" s="31"/>
      <c r="R6" s="31"/>
      <c r="S6" s="31"/>
      <c r="T6" s="31"/>
      <c r="Y6" s="31"/>
      <c r="Z6" s="122" t="s">
        <v>1487</v>
      </c>
      <c r="AA6" s="31"/>
      <c r="AB6" s="31"/>
    </row>
    <row r="7" spans="4:28">
      <c r="D7" s="31"/>
      <c r="E7" s="31" t="s">
        <v>158</v>
      </c>
      <c r="F7" s="31"/>
      <c r="G7" s="31"/>
      <c r="H7" s="31" t="s">
        <v>89</v>
      </c>
      <c r="I7" s="31"/>
      <c r="M7" s="31"/>
      <c r="N7" s="31" t="s">
        <v>159</v>
      </c>
      <c r="O7" s="31" t="s">
        <v>160</v>
      </c>
      <c r="P7" s="31" t="s">
        <v>161</v>
      </c>
      <c r="Q7" s="31"/>
      <c r="R7" s="31"/>
      <c r="S7" s="31"/>
      <c r="T7" s="31"/>
      <c r="Y7" s="31"/>
      <c r="Z7" s="122" t="s">
        <v>1490</v>
      </c>
      <c r="AA7" s="31"/>
      <c r="AB7" s="31"/>
    </row>
    <row r="8" spans="4:28">
      <c r="D8" s="31"/>
      <c r="E8" s="31" t="s">
        <v>162</v>
      </c>
      <c r="F8" s="31"/>
      <c r="G8" s="31"/>
      <c r="H8" s="31" t="s">
        <v>88</v>
      </c>
      <c r="I8" s="31"/>
      <c r="M8" s="31"/>
      <c r="N8" s="31">
        <v>1</v>
      </c>
      <c r="O8" s="31">
        <v>1</v>
      </c>
      <c r="P8" s="31">
        <v>1</v>
      </c>
      <c r="Q8" s="31"/>
      <c r="R8" s="31"/>
      <c r="S8" s="31"/>
      <c r="T8" s="31"/>
      <c r="Y8" s="31"/>
      <c r="Z8" s="122" t="s">
        <v>1491</v>
      </c>
      <c r="AA8" s="31"/>
      <c r="AB8" s="31"/>
    </row>
    <row r="9" spans="4:28">
      <c r="D9" s="31"/>
      <c r="E9" s="31" t="s">
        <v>163</v>
      </c>
      <c r="F9" s="31"/>
      <c r="G9" s="31"/>
      <c r="H9" s="31" t="s">
        <v>89</v>
      </c>
      <c r="I9" s="31"/>
      <c r="M9" s="31"/>
      <c r="N9" s="31"/>
      <c r="O9" s="31"/>
      <c r="P9" s="31"/>
      <c r="Q9" s="31"/>
      <c r="R9" s="31"/>
      <c r="S9" s="31"/>
      <c r="T9" s="31"/>
      <c r="Y9" s="31"/>
      <c r="Z9" s="122" t="s">
        <v>1490</v>
      </c>
      <c r="AA9" s="31"/>
      <c r="AB9" s="31"/>
    </row>
    <row r="10" spans="4:28">
      <c r="D10" s="31"/>
      <c r="E10" s="31" t="s">
        <v>164</v>
      </c>
      <c r="F10" s="31"/>
      <c r="G10" s="31"/>
      <c r="H10" s="31" t="s">
        <v>88</v>
      </c>
      <c r="I10" s="31"/>
      <c r="M10" s="31"/>
      <c r="N10" s="31" t="s">
        <v>159</v>
      </c>
      <c r="O10" s="31" t="s">
        <v>160</v>
      </c>
      <c r="P10" s="31" t="s">
        <v>161</v>
      </c>
      <c r="Q10" s="31"/>
      <c r="R10" s="31" t="s">
        <v>165</v>
      </c>
      <c r="S10" s="31"/>
      <c r="T10" s="31"/>
      <c r="Y10" s="31"/>
      <c r="Z10" s="122" t="s">
        <v>1494</v>
      </c>
      <c r="AA10" s="31"/>
      <c r="AB10" s="31"/>
    </row>
    <row r="11" spans="4:28">
      <c r="D11" s="31"/>
      <c r="E11" s="31"/>
      <c r="F11" s="31"/>
      <c r="G11" s="31"/>
      <c r="H11" s="31"/>
      <c r="I11" s="31"/>
      <c r="M11" s="31"/>
      <c r="N11" s="31">
        <v>1</v>
      </c>
      <c r="O11" s="31">
        <v>1</v>
      </c>
      <c r="P11" s="31"/>
      <c r="Q11" s="31"/>
      <c r="R11" s="31">
        <f>IF(H6="Yes",1,0)</f>
        <v>1</v>
      </c>
      <c r="S11" s="31" t="s">
        <v>166</v>
      </c>
      <c r="T11" s="31"/>
      <c r="Y11" s="31"/>
      <c r="Z11" s="122" t="s">
        <v>1496</v>
      </c>
      <c r="AA11" s="31"/>
      <c r="AB11" s="31"/>
    </row>
    <row r="12" spans="4:28">
      <c r="D12" s="31"/>
      <c r="E12" s="31"/>
      <c r="F12" s="31"/>
      <c r="G12" s="31"/>
      <c r="H12" s="31"/>
      <c r="I12" s="31"/>
      <c r="M12" s="31"/>
      <c r="N12" s="31">
        <v>0</v>
      </c>
      <c r="O12" s="31">
        <v>1</v>
      </c>
      <c r="P12" s="31"/>
      <c r="Q12" s="31"/>
      <c r="R12" s="31">
        <f>IF(H7="Yes",1,0)</f>
        <v>0</v>
      </c>
      <c r="S12" s="31" t="s">
        <v>167</v>
      </c>
      <c r="T12" s="31"/>
      <c r="Y12" s="31"/>
      <c r="Z12" s="122" t="s">
        <v>1498</v>
      </c>
      <c r="AA12" s="31"/>
      <c r="AB12" s="31"/>
    </row>
    <row r="13" spans="4:28">
      <c r="D13" s="31"/>
      <c r="E13" s="31"/>
      <c r="F13" s="31"/>
      <c r="G13" s="31"/>
      <c r="H13" s="31"/>
      <c r="I13" s="31"/>
      <c r="M13" s="31"/>
      <c r="N13" s="31">
        <v>1</v>
      </c>
      <c r="O13" s="31"/>
      <c r="P13" s="31">
        <v>1</v>
      </c>
      <c r="Q13" s="31"/>
      <c r="R13" s="31">
        <f>IF(H8="Yes",1,0)</f>
        <v>1</v>
      </c>
      <c r="S13" s="31" t="s">
        <v>168</v>
      </c>
      <c r="T13" s="31"/>
      <c r="Y13" s="31"/>
      <c r="Z13" s="123" t="s">
        <v>1500</v>
      </c>
      <c r="AA13" s="31"/>
      <c r="AB13" s="31"/>
    </row>
    <row r="14" spans="4:28">
      <c r="D14" s="31"/>
      <c r="E14" s="34" t="s">
        <v>169</v>
      </c>
      <c r="F14" s="31"/>
      <c r="G14" s="31"/>
      <c r="H14" s="31"/>
      <c r="I14" s="31"/>
      <c r="M14" s="31"/>
      <c r="N14" s="31">
        <v>1</v>
      </c>
      <c r="O14" s="31"/>
      <c r="P14" s="31"/>
      <c r="Q14" s="31"/>
      <c r="R14" s="31">
        <f>IF(H9="Yes",1,0)</f>
        <v>0</v>
      </c>
      <c r="S14" s="31" t="s">
        <v>170</v>
      </c>
      <c r="T14" s="31"/>
      <c r="Y14" s="31"/>
      <c r="Z14" s="123" t="s">
        <v>1502</v>
      </c>
      <c r="AA14" s="31"/>
      <c r="AB14" s="31"/>
    </row>
    <row r="15" spans="4:28">
      <c r="M15" s="31"/>
      <c r="N15" s="31">
        <v>1</v>
      </c>
      <c r="O15" s="31"/>
      <c r="P15" s="31"/>
      <c r="Q15" s="31"/>
      <c r="R15" s="31">
        <f>IF(H10="Yes",1,0)</f>
        <v>1</v>
      </c>
      <c r="S15" s="31" t="s">
        <v>171</v>
      </c>
      <c r="T15" s="31"/>
      <c r="Y15" s="31"/>
      <c r="Z15" s="123" t="s">
        <v>1504</v>
      </c>
      <c r="AA15" s="31"/>
      <c r="AB15" s="31"/>
    </row>
    <row r="16" spans="4:28">
      <c r="M16" s="31"/>
      <c r="N16" s="31"/>
      <c r="O16" s="31"/>
      <c r="P16" s="31"/>
      <c r="Q16" s="31"/>
      <c r="R16" s="31"/>
      <c r="S16" s="31"/>
      <c r="T16" s="31"/>
      <c r="Y16" s="31"/>
      <c r="Z16" s="123" t="s">
        <v>1502</v>
      </c>
      <c r="AA16" s="31"/>
      <c r="AB16" s="31"/>
    </row>
    <row r="17" spans="4:28" ht="16" thickBot="1">
      <c r="D17" s="31"/>
      <c r="E17" s="31"/>
      <c r="F17" s="31"/>
      <c r="G17" s="31"/>
      <c r="H17" s="31"/>
      <c r="I17" s="31"/>
      <c r="M17" s="34" t="s">
        <v>172</v>
      </c>
      <c r="N17" s="31">
        <f>DPRODUCT($N$10:$R$15,"Answers",N7:N8)</f>
        <v>0</v>
      </c>
      <c r="O17" s="31">
        <f>DPRODUCT($N$10:$R$15,"Answers",O7:O8)</f>
        <v>0</v>
      </c>
      <c r="P17" s="31">
        <f>DPRODUCT($N$10:$R$15,"Answers",P7:P8)</f>
        <v>1</v>
      </c>
      <c r="Q17" s="31"/>
      <c r="R17" s="31"/>
      <c r="S17" s="31"/>
      <c r="T17" s="31"/>
      <c r="Y17" s="31"/>
      <c r="Z17" s="123" t="s">
        <v>1504</v>
      </c>
      <c r="AA17" s="31"/>
      <c r="AB17" s="31"/>
    </row>
    <row r="18" spans="4:28" ht="16" thickBot="1">
      <c r="D18" s="31"/>
      <c r="E18" s="32" t="s">
        <v>173</v>
      </c>
      <c r="F18" s="33"/>
      <c r="G18" s="31"/>
      <c r="H18" s="31"/>
      <c r="I18" s="31"/>
      <c r="M18" s="31"/>
      <c r="N18" s="31"/>
      <c r="O18" s="31"/>
      <c r="P18" s="31"/>
      <c r="Q18" s="31"/>
      <c r="R18" s="31"/>
      <c r="S18" s="31"/>
      <c r="T18" s="31"/>
      <c r="Y18" s="31"/>
      <c r="Z18" s="31"/>
      <c r="AA18" s="31"/>
      <c r="AB18" s="31"/>
    </row>
    <row r="19" spans="4:28">
      <c r="D19" s="35" t="s">
        <v>174</v>
      </c>
      <c r="E19" s="31" t="str">
        <f>IF(N17=1,"6)  ","")</f>
        <v/>
      </c>
      <c r="F19" s="31"/>
      <c r="G19" s="31"/>
      <c r="H19" s="31"/>
      <c r="I19" s="31"/>
      <c r="M19" s="31"/>
      <c r="N19" s="31"/>
      <c r="O19" s="31"/>
      <c r="P19" s="31"/>
      <c r="Q19" s="31"/>
      <c r="R19" s="31"/>
      <c r="S19" s="31"/>
      <c r="T19" s="31"/>
    </row>
    <row r="20" spans="4:28">
      <c r="D20" s="35" t="s">
        <v>174</v>
      </c>
      <c r="E20" s="31" t="str">
        <f>IF(O17=1,"7)  ","")</f>
        <v/>
      </c>
      <c r="F20" s="31"/>
      <c r="G20" s="31"/>
      <c r="H20" s="31"/>
      <c r="I20" s="31"/>
      <c r="M20" s="31"/>
      <c r="N20" s="31"/>
      <c r="O20" s="31"/>
      <c r="P20" s="31"/>
      <c r="Q20" s="31"/>
      <c r="R20" s="31"/>
      <c r="S20" s="31"/>
      <c r="T20" s="31"/>
    </row>
    <row r="21" spans="4:28">
      <c r="D21" s="35" t="s">
        <v>174</v>
      </c>
      <c r="E21" s="31" t="str">
        <f>IF(P17=1,"8)  ","")</f>
        <v xml:space="preserve">8)  </v>
      </c>
      <c r="F21" s="31"/>
      <c r="G21" s="31"/>
      <c r="H21" s="31" t="s">
        <v>88</v>
      </c>
      <c r="I21" s="31"/>
      <c r="M21" s="31"/>
      <c r="N21" s="34" t="s">
        <v>175</v>
      </c>
      <c r="O21" s="31"/>
      <c r="P21" s="31"/>
      <c r="Q21" s="31"/>
      <c r="R21" s="31"/>
      <c r="S21" s="31"/>
      <c r="T21" s="31"/>
    </row>
    <row r="22" spans="4:28">
      <c r="D22" s="31"/>
      <c r="E22" s="31"/>
      <c r="F22" s="31"/>
      <c r="G22" s="31"/>
      <c r="H22" s="31"/>
      <c r="I22" s="31"/>
      <c r="M22" s="31"/>
      <c r="N22" s="34" t="s">
        <v>176</v>
      </c>
      <c r="O22" s="31"/>
      <c r="P22" s="31"/>
      <c r="Q22" s="31"/>
      <c r="R22" s="31"/>
      <c r="S22" s="31"/>
      <c r="T22" s="31"/>
    </row>
    <row r="23" spans="4:28">
      <c r="D23" s="34" t="s">
        <v>177</v>
      </c>
      <c r="E23" s="31"/>
      <c r="F23" s="31"/>
      <c r="G23" s="31"/>
      <c r="H23" s="31"/>
      <c r="I23" s="31"/>
    </row>
    <row r="24" spans="4:28" ht="16" thickBot="1">
      <c r="D24" s="31"/>
      <c r="E24" s="31"/>
      <c r="F24" s="31"/>
      <c r="G24" s="31"/>
      <c r="H24" s="31"/>
      <c r="I24" s="31"/>
      <c r="M24" s="31"/>
      <c r="N24" s="31"/>
      <c r="O24" s="31"/>
      <c r="P24" s="31"/>
      <c r="Q24" s="31"/>
      <c r="R24" s="31"/>
      <c r="S24" s="31"/>
      <c r="T24" s="31"/>
    </row>
    <row r="25" spans="4:28" ht="16" thickBot="1">
      <c r="M25" s="31"/>
      <c r="N25" s="31" t="s">
        <v>178</v>
      </c>
      <c r="O25" s="31" t="s">
        <v>179</v>
      </c>
      <c r="P25" s="31" t="s">
        <v>180</v>
      </c>
      <c r="Q25" s="31"/>
      <c r="R25" s="32" t="s">
        <v>181</v>
      </c>
      <c r="S25" s="33"/>
      <c r="T25" s="31"/>
    </row>
    <row r="26" spans="4:28">
      <c r="M26" s="31"/>
      <c r="N26" s="31">
        <v>1</v>
      </c>
      <c r="O26" s="31">
        <v>1</v>
      </c>
      <c r="P26" s="31">
        <v>1</v>
      </c>
      <c r="Q26" s="31"/>
      <c r="R26" s="31"/>
      <c r="S26" s="31"/>
      <c r="T26" s="31"/>
    </row>
    <row r="27" spans="4:28" ht="16" thickBot="1">
      <c r="D27" s="31"/>
      <c r="E27" s="31"/>
      <c r="F27" s="31"/>
      <c r="G27" s="31"/>
      <c r="H27" s="31"/>
      <c r="I27" s="31"/>
      <c r="M27" s="31"/>
      <c r="N27" s="31"/>
      <c r="O27" s="31"/>
      <c r="P27" s="31"/>
      <c r="Q27" s="31"/>
      <c r="R27" s="31"/>
      <c r="S27" s="31"/>
      <c r="T27" s="31"/>
    </row>
    <row r="28" spans="4:28" ht="16" thickBot="1">
      <c r="D28" s="31"/>
      <c r="E28" s="32" t="s">
        <v>182</v>
      </c>
      <c r="F28" s="33"/>
      <c r="G28" s="31"/>
      <c r="H28" s="31"/>
      <c r="I28" s="31"/>
      <c r="M28" s="31"/>
      <c r="N28" s="31" t="s">
        <v>178</v>
      </c>
      <c r="O28" s="31" t="s">
        <v>179</v>
      </c>
      <c r="P28" s="31" t="s">
        <v>180</v>
      </c>
      <c r="Q28" s="31"/>
      <c r="R28" s="31" t="s">
        <v>165</v>
      </c>
      <c r="S28" s="31"/>
      <c r="T28" s="31"/>
    </row>
    <row r="29" spans="4:28">
      <c r="D29" s="31"/>
      <c r="E29" s="31"/>
      <c r="F29" s="31"/>
      <c r="G29" s="31"/>
      <c r="H29" s="31"/>
      <c r="I29" s="31"/>
      <c r="M29" s="31"/>
      <c r="N29" s="31">
        <v>1</v>
      </c>
      <c r="O29" s="31"/>
      <c r="P29" s="31"/>
      <c r="Q29" s="31"/>
      <c r="R29" s="31">
        <f>N17</f>
        <v>0</v>
      </c>
      <c r="S29" s="35" t="s">
        <v>183</v>
      </c>
      <c r="T29" s="31"/>
    </row>
    <row r="30" spans="4:28">
      <c r="D30" s="35" t="s">
        <v>174</v>
      </c>
      <c r="E30" s="31" t="str">
        <f>IF(N36=1,"PBA","")</f>
        <v/>
      </c>
      <c r="F30" s="31"/>
      <c r="G30" s="31"/>
      <c r="H30" s="31"/>
      <c r="I30" s="31"/>
      <c r="M30" s="31"/>
      <c r="N30" s="31"/>
      <c r="O30" s="31">
        <v>1</v>
      </c>
      <c r="P30" s="31"/>
      <c r="Q30" s="31"/>
      <c r="R30" s="31">
        <f>O17</f>
        <v>0</v>
      </c>
      <c r="S30" s="35" t="s">
        <v>184</v>
      </c>
      <c r="T30" s="31"/>
    </row>
    <row r="31" spans="4:28">
      <c r="D31" s="35" t="s">
        <v>174</v>
      </c>
      <c r="E31" s="31" t="str">
        <f>IF(O36=1,"MBC","")</f>
        <v/>
      </c>
      <c r="F31" s="31"/>
      <c r="G31" s="31"/>
      <c r="H31" s="31"/>
      <c r="I31" s="31"/>
      <c r="M31" s="31"/>
      <c r="N31" s="31"/>
      <c r="O31" s="31"/>
      <c r="P31" s="31">
        <v>1</v>
      </c>
      <c r="Q31" s="31"/>
      <c r="R31" s="31">
        <f>P17</f>
        <v>1</v>
      </c>
      <c r="S31" s="35" t="s">
        <v>185</v>
      </c>
      <c r="T31" s="31"/>
    </row>
    <row r="32" spans="4:28">
      <c r="D32" s="35" t="s">
        <v>174</v>
      </c>
      <c r="E32" s="31" t="str">
        <f>IF(P36=1,"ORBM","")</f>
        <v>ORBM</v>
      </c>
      <c r="F32" s="31"/>
      <c r="G32" s="31"/>
      <c r="H32" s="31"/>
      <c r="I32" s="31"/>
      <c r="M32" s="31"/>
      <c r="N32" s="31">
        <v>1</v>
      </c>
      <c r="O32" s="31"/>
      <c r="P32" s="31"/>
      <c r="Q32" s="31"/>
      <c r="R32" s="31">
        <f>IF(H19="Yes",1,0)</f>
        <v>0</v>
      </c>
      <c r="S32" s="31" t="s">
        <v>186</v>
      </c>
      <c r="T32" s="31"/>
    </row>
    <row r="33" spans="4:20">
      <c r="D33" s="31"/>
      <c r="E33" s="31"/>
      <c r="F33" s="31"/>
      <c r="G33" s="31"/>
      <c r="H33" s="31"/>
      <c r="I33" s="31"/>
      <c r="M33" s="31"/>
      <c r="N33" s="31"/>
      <c r="O33" s="31">
        <v>1</v>
      </c>
      <c r="P33" s="31"/>
      <c r="Q33" s="31"/>
      <c r="R33" s="31">
        <f>IF(H20="Yes",1,0)</f>
        <v>0</v>
      </c>
      <c r="S33" s="31" t="s">
        <v>187</v>
      </c>
      <c r="T33" s="31"/>
    </row>
    <row r="34" spans="4:20">
      <c r="D34" s="34" t="s">
        <v>188</v>
      </c>
      <c r="E34" s="31"/>
      <c r="F34" s="31"/>
      <c r="G34" s="31"/>
      <c r="H34" s="31"/>
      <c r="I34" s="31"/>
      <c r="M34" s="31"/>
      <c r="N34" s="31"/>
      <c r="O34" s="31"/>
      <c r="P34" s="31">
        <v>1</v>
      </c>
      <c r="Q34" s="31"/>
      <c r="R34" s="31">
        <f>IF(H21="Yes",1,0)</f>
        <v>1</v>
      </c>
      <c r="S34" s="31" t="s">
        <v>189</v>
      </c>
      <c r="T34" s="31"/>
    </row>
    <row r="35" spans="4:20">
      <c r="D35" s="31"/>
      <c r="E35" s="31"/>
      <c r="F35" s="31"/>
      <c r="G35" s="31"/>
      <c r="H35" s="31"/>
      <c r="I35" s="31"/>
      <c r="M35" s="31"/>
      <c r="N35" s="31"/>
      <c r="O35" s="31"/>
      <c r="P35" s="31"/>
      <c r="Q35" s="31"/>
      <c r="R35" s="31"/>
      <c r="S35" s="31"/>
      <c r="T35" s="31"/>
    </row>
    <row r="36" spans="4:20">
      <c r="M36" s="34" t="s">
        <v>190</v>
      </c>
      <c r="N36" s="31">
        <f>DPRODUCT($N$28:$R$34,"Answers",N25:N26)</f>
        <v>0</v>
      </c>
      <c r="O36" s="31">
        <f>DPRODUCT($N$28:$R$34,"Answers",O25:O26)</f>
        <v>0</v>
      </c>
      <c r="P36" s="31">
        <f>DPRODUCT($N$28:$R$34,"Answers",P25:P26)</f>
        <v>1</v>
      </c>
      <c r="Q36" s="31"/>
      <c r="R36" s="31"/>
      <c r="S36" s="31"/>
      <c r="T36" s="31"/>
    </row>
    <row r="37" spans="4:20">
      <c r="M37" s="31"/>
      <c r="N37" s="31"/>
      <c r="O37" s="31"/>
      <c r="P37" s="31"/>
      <c r="Q37" s="31"/>
      <c r="R37" s="31"/>
      <c r="S37" s="31"/>
      <c r="T37" s="3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55"/>
  <sheetViews>
    <sheetView zoomScale="61" workbookViewId="0">
      <pane xSplit="1" ySplit="4" topLeftCell="B5" activePane="bottomRight" state="frozen"/>
      <selection pane="topRight" activeCell="B1" sqref="B1"/>
      <selection pane="bottomLeft" activeCell="A3" sqref="A3"/>
      <selection pane="bottomRight" activeCell="N63" sqref="N63"/>
    </sheetView>
  </sheetViews>
  <sheetFormatPr baseColWidth="10" defaultColWidth="8.83203125" defaultRowHeight="15"/>
  <cols>
    <col min="1" max="1" width="37.5" style="15" bestFit="1" customWidth="1"/>
    <col min="2" max="5" width="9" style="15" customWidth="1"/>
    <col min="6" max="7" width="12.5" style="15" customWidth="1"/>
    <col min="8" max="9" width="12.1640625" style="15" customWidth="1"/>
    <col min="10" max="15" width="10.83203125" style="15" customWidth="1"/>
    <col min="16" max="16384" width="8.83203125" style="15"/>
  </cols>
  <sheetData>
    <row r="1" spans="1:21">
      <c r="A1" s="16" t="s">
        <v>148</v>
      </c>
    </row>
    <row r="3" spans="1:21" ht="14.5" customHeight="1">
      <c r="B3" s="591" t="s">
        <v>42</v>
      </c>
      <c r="C3" s="594"/>
      <c r="D3" s="594"/>
      <c r="E3" s="595"/>
      <c r="F3" s="591" t="s">
        <v>41</v>
      </c>
      <c r="G3" s="595"/>
      <c r="H3" s="596" t="s">
        <v>23</v>
      </c>
      <c r="I3" s="597"/>
      <c r="J3" s="598" t="s">
        <v>8</v>
      </c>
      <c r="K3" s="599"/>
      <c r="L3" s="599"/>
      <c r="M3" s="599"/>
      <c r="N3" s="599"/>
      <c r="O3" s="600"/>
      <c r="P3" s="591" t="s">
        <v>143</v>
      </c>
      <c r="Q3" s="592"/>
      <c r="R3" s="592"/>
      <c r="S3" s="592"/>
      <c r="T3" s="593"/>
    </row>
    <row r="4" spans="1:21" ht="80">
      <c r="A4" s="11" t="s">
        <v>17</v>
      </c>
      <c r="B4" s="14" t="s">
        <v>11</v>
      </c>
      <c r="C4" s="14" t="s">
        <v>43</v>
      </c>
      <c r="D4" s="14" t="s">
        <v>12</v>
      </c>
      <c r="E4" s="14" t="s">
        <v>22</v>
      </c>
      <c r="F4" s="14" t="s">
        <v>9</v>
      </c>
      <c r="G4" s="14" t="s">
        <v>38</v>
      </c>
      <c r="H4" s="14" t="s">
        <v>3</v>
      </c>
      <c r="I4" s="14" t="s">
        <v>33</v>
      </c>
      <c r="J4" s="14" t="s">
        <v>7</v>
      </c>
      <c r="K4" s="14" t="s">
        <v>40</v>
      </c>
      <c r="L4" s="14" t="s">
        <v>117</v>
      </c>
      <c r="M4" s="14" t="s">
        <v>118</v>
      </c>
      <c r="N4" s="14" t="s">
        <v>4</v>
      </c>
      <c r="O4" s="14" t="s">
        <v>119</v>
      </c>
      <c r="P4" s="30" t="s">
        <v>150</v>
      </c>
      <c r="Q4" s="30" t="s">
        <v>144</v>
      </c>
      <c r="R4" s="30" t="s">
        <v>145</v>
      </c>
      <c r="S4" s="30" t="s">
        <v>146</v>
      </c>
      <c r="T4" s="30" t="s">
        <v>147</v>
      </c>
    </row>
    <row r="5" spans="1:21">
      <c r="A5" s="13" t="s">
        <v>0</v>
      </c>
      <c r="B5" s="58"/>
      <c r="C5" s="58" t="s">
        <v>5</v>
      </c>
      <c r="D5" s="58"/>
      <c r="E5" s="4"/>
      <c r="F5" s="4" t="s">
        <v>32</v>
      </c>
      <c r="G5" s="59"/>
      <c r="H5" s="4"/>
      <c r="I5" s="4"/>
      <c r="J5" s="4"/>
      <c r="K5" s="4"/>
      <c r="L5" s="4"/>
      <c r="M5" s="4"/>
      <c r="N5" s="4"/>
      <c r="O5" s="4"/>
      <c r="P5" s="8"/>
      <c r="Q5" s="8"/>
      <c r="R5" s="8"/>
      <c r="S5" s="8"/>
      <c r="T5" s="8"/>
    </row>
    <row r="6" spans="1:21">
      <c r="A6" s="13" t="s">
        <v>21</v>
      </c>
      <c r="B6" s="58"/>
      <c r="C6" s="58" t="s">
        <v>5</v>
      </c>
      <c r="D6" s="58"/>
      <c r="E6" s="4"/>
      <c r="F6" s="4" t="s">
        <v>10</v>
      </c>
      <c r="G6" s="4"/>
      <c r="H6" s="4"/>
      <c r="I6" s="4"/>
      <c r="J6" s="4"/>
      <c r="K6" s="4"/>
      <c r="L6" s="4"/>
      <c r="M6" s="4"/>
      <c r="N6" s="4"/>
      <c r="O6" s="4"/>
      <c r="P6" s="8"/>
      <c r="Q6" s="8"/>
      <c r="R6" s="8"/>
      <c r="S6" s="8"/>
      <c r="T6" s="8"/>
    </row>
    <row r="7" spans="1:21">
      <c r="A7" s="13" t="s">
        <v>14</v>
      </c>
      <c r="B7" s="58" t="s">
        <v>5</v>
      </c>
      <c r="C7" s="58" t="s">
        <v>5</v>
      </c>
      <c r="D7" s="58" t="s">
        <v>5</v>
      </c>
      <c r="E7" s="4"/>
      <c r="F7" s="4" t="s">
        <v>10</v>
      </c>
      <c r="G7" s="4" t="s">
        <v>10</v>
      </c>
      <c r="H7" s="4"/>
      <c r="I7" s="4"/>
      <c r="J7" s="4"/>
      <c r="K7" s="4"/>
      <c r="L7" s="4"/>
      <c r="M7" s="4"/>
      <c r="N7" s="4"/>
      <c r="O7" s="4"/>
      <c r="P7" s="8"/>
      <c r="Q7" s="8"/>
      <c r="R7" s="8"/>
      <c r="S7" s="8"/>
      <c r="T7" s="8"/>
    </row>
    <row r="8" spans="1:21" ht="14.5" customHeight="1">
      <c r="A8" s="13" t="s">
        <v>25</v>
      </c>
      <c r="B8" s="58" t="s">
        <v>5</v>
      </c>
      <c r="C8" s="58" t="s">
        <v>6</v>
      </c>
      <c r="D8" s="58" t="s">
        <v>5</v>
      </c>
      <c r="E8" s="4"/>
      <c r="F8" s="4"/>
      <c r="G8" s="4" t="s">
        <v>10</v>
      </c>
      <c r="H8" s="4"/>
      <c r="I8" s="4"/>
      <c r="J8" s="4"/>
      <c r="K8" s="4"/>
      <c r="L8" s="4"/>
      <c r="M8" s="4"/>
      <c r="N8" s="4"/>
      <c r="O8" s="4"/>
      <c r="P8" s="8"/>
      <c r="Q8" s="8"/>
      <c r="R8" s="8"/>
      <c r="S8" s="8"/>
      <c r="T8" s="8"/>
    </row>
    <row r="9" spans="1:21">
      <c r="A9" s="13" t="s">
        <v>191</v>
      </c>
      <c r="B9" s="58" t="s">
        <v>5</v>
      </c>
      <c r="C9" s="58"/>
      <c r="D9" s="58" t="s">
        <v>5</v>
      </c>
      <c r="E9" s="4"/>
      <c r="F9" s="4"/>
      <c r="G9" s="4"/>
      <c r="H9" s="4"/>
      <c r="I9" s="4"/>
      <c r="J9" s="4" t="s">
        <v>39</v>
      </c>
      <c r="K9" s="4" t="s">
        <v>39</v>
      </c>
      <c r="L9" s="4" t="s">
        <v>39</v>
      </c>
      <c r="M9" s="4"/>
      <c r="N9" s="4" t="s">
        <v>39</v>
      </c>
      <c r="O9" s="4"/>
      <c r="P9" s="8" t="s">
        <v>195</v>
      </c>
      <c r="Q9" s="8"/>
      <c r="R9" s="8"/>
      <c r="S9" s="8"/>
      <c r="T9" s="8"/>
    </row>
    <row r="10" spans="1:21">
      <c r="A10" s="13" t="s">
        <v>15</v>
      </c>
      <c r="B10" s="58" t="s">
        <v>5</v>
      </c>
      <c r="C10" s="4"/>
      <c r="D10" s="4" t="s">
        <v>5</v>
      </c>
      <c r="E10" s="4"/>
      <c r="F10" s="4"/>
      <c r="G10" s="4"/>
      <c r="H10" s="4"/>
      <c r="I10" s="4"/>
      <c r="J10" s="4"/>
      <c r="K10" s="4"/>
      <c r="L10" s="4"/>
      <c r="M10" s="4"/>
      <c r="N10" s="4"/>
      <c r="O10" s="4"/>
      <c r="P10" s="8"/>
      <c r="Q10" s="8"/>
      <c r="R10" s="8"/>
      <c r="S10" s="8"/>
      <c r="T10" s="8"/>
    </row>
    <row r="11" spans="1:21">
      <c r="A11" s="13" t="s">
        <v>334</v>
      </c>
      <c r="B11" s="58" t="s">
        <v>5</v>
      </c>
      <c r="C11" s="4"/>
      <c r="D11" s="4" t="s">
        <v>5</v>
      </c>
      <c r="E11" s="58" t="s">
        <v>5</v>
      </c>
      <c r="F11" s="4"/>
      <c r="G11" s="4"/>
      <c r="H11" s="4"/>
      <c r="I11" s="4"/>
      <c r="J11" s="4"/>
      <c r="K11" s="4"/>
      <c r="L11" s="4"/>
      <c r="M11" s="4"/>
      <c r="N11" s="4"/>
      <c r="O11" s="4"/>
      <c r="P11" s="8"/>
      <c r="Q11" s="8"/>
      <c r="R11" s="8"/>
      <c r="S11" s="8"/>
      <c r="T11" s="8"/>
    </row>
    <row r="12" spans="1:21">
      <c r="A12"/>
      <c r="B12"/>
      <c r="C12"/>
      <c r="D12"/>
      <c r="E12"/>
      <c r="F12"/>
      <c r="G12"/>
      <c r="H12"/>
      <c r="I12"/>
      <c r="J12"/>
      <c r="K12"/>
      <c r="L12"/>
      <c r="M12"/>
      <c r="N12"/>
      <c r="O12"/>
      <c r="P12"/>
      <c r="Q12"/>
      <c r="R12"/>
      <c r="S12"/>
      <c r="T12"/>
      <c r="U12"/>
    </row>
    <row r="13" spans="1:21">
      <c r="A13" s="11" t="s">
        <v>26</v>
      </c>
      <c r="B13" s="4"/>
      <c r="C13" s="4"/>
      <c r="D13" s="4"/>
      <c r="E13" s="4"/>
      <c r="F13" s="4"/>
      <c r="G13" s="4"/>
      <c r="H13" s="4"/>
      <c r="I13" s="4"/>
      <c r="J13" s="4"/>
      <c r="K13" s="4"/>
      <c r="L13" s="4"/>
      <c r="M13" s="4"/>
      <c r="N13" s="4"/>
      <c r="O13" s="4"/>
      <c r="P13" s="8"/>
      <c r="Q13" s="8"/>
      <c r="R13" s="8"/>
      <c r="S13" s="8"/>
      <c r="T13" s="8"/>
    </row>
    <row r="14" spans="1:21">
      <c r="A14" s="13" t="s">
        <v>27</v>
      </c>
      <c r="B14" s="4"/>
      <c r="C14" s="4" t="s">
        <v>5</v>
      </c>
      <c r="D14" s="4"/>
      <c r="E14" s="4"/>
      <c r="F14" s="4" t="s">
        <v>10</v>
      </c>
      <c r="G14" s="4"/>
      <c r="H14" s="4"/>
      <c r="I14" s="4"/>
      <c r="J14" s="4"/>
      <c r="K14" s="4"/>
      <c r="L14" s="4"/>
      <c r="M14" s="4"/>
      <c r="N14" s="4"/>
      <c r="O14" s="4"/>
      <c r="P14" s="8"/>
      <c r="Q14" s="8"/>
      <c r="R14" s="8"/>
      <c r="S14" s="8"/>
      <c r="T14" s="8"/>
    </row>
    <row r="15" spans="1:21">
      <c r="A15" s="13" t="s">
        <v>19</v>
      </c>
      <c r="B15" s="4"/>
      <c r="C15" s="4" t="s">
        <v>5</v>
      </c>
      <c r="D15" s="4" t="s">
        <v>5</v>
      </c>
      <c r="E15" s="4"/>
      <c r="F15" s="4" t="s">
        <v>10</v>
      </c>
      <c r="G15" s="4"/>
      <c r="H15" s="4"/>
      <c r="I15" s="4"/>
      <c r="J15" s="4" t="s">
        <v>39</v>
      </c>
      <c r="K15" s="4" t="s">
        <v>39</v>
      </c>
      <c r="L15" s="4" t="s">
        <v>39</v>
      </c>
      <c r="M15" s="4"/>
      <c r="N15" s="4" t="s">
        <v>39</v>
      </c>
      <c r="O15" s="4" t="s">
        <v>39</v>
      </c>
      <c r="P15" s="8"/>
      <c r="Q15" s="8"/>
      <c r="R15" s="8"/>
      <c r="S15" s="8"/>
      <c r="T15" s="8"/>
    </row>
    <row r="16" spans="1:21">
      <c r="A16" s="13" t="s">
        <v>327</v>
      </c>
      <c r="B16" s="4"/>
      <c r="C16" s="4"/>
      <c r="D16" s="4"/>
      <c r="E16" s="4"/>
      <c r="F16" s="4"/>
      <c r="G16" s="4"/>
      <c r="H16" s="4" t="s">
        <v>39</v>
      </c>
      <c r="I16" s="4" t="s">
        <v>39</v>
      </c>
      <c r="J16" s="4"/>
      <c r="K16" s="4"/>
      <c r="L16" s="4"/>
      <c r="M16" s="4"/>
      <c r="N16" s="4"/>
      <c r="O16" s="4"/>
      <c r="P16" s="8"/>
      <c r="Q16" s="8"/>
      <c r="R16" s="8"/>
      <c r="S16" s="8"/>
      <c r="T16" s="8"/>
    </row>
    <row r="17" spans="1:20">
      <c r="A17" s="13" t="s">
        <v>328</v>
      </c>
      <c r="B17" s="4"/>
      <c r="C17" s="4"/>
      <c r="D17" s="4"/>
      <c r="E17" s="4"/>
      <c r="F17" s="4"/>
      <c r="G17" s="4"/>
      <c r="H17" s="4" t="s">
        <v>39</v>
      </c>
      <c r="I17" s="4" t="s">
        <v>39</v>
      </c>
      <c r="J17" s="4"/>
      <c r="K17" s="4"/>
      <c r="L17" s="4"/>
      <c r="M17" s="4"/>
      <c r="N17" s="4"/>
      <c r="O17" s="4"/>
      <c r="P17" s="8"/>
      <c r="Q17" s="8"/>
      <c r="R17" s="8"/>
      <c r="S17" s="8"/>
      <c r="T17" s="8"/>
    </row>
    <row r="18" spans="1:20">
      <c r="A18" s="13" t="s">
        <v>18</v>
      </c>
      <c r="B18" s="4"/>
      <c r="C18" s="4"/>
      <c r="D18" s="4"/>
      <c r="E18" s="4"/>
      <c r="F18" s="4"/>
      <c r="G18" s="4"/>
      <c r="H18" s="4" t="s">
        <v>39</v>
      </c>
      <c r="I18" s="4" t="s">
        <v>39</v>
      </c>
      <c r="J18" s="4"/>
      <c r="K18" s="4"/>
      <c r="L18" s="4"/>
      <c r="M18" s="4"/>
      <c r="N18" s="4"/>
      <c r="O18" s="4"/>
      <c r="P18" s="8"/>
      <c r="Q18" s="8"/>
      <c r="R18" s="8"/>
      <c r="S18" s="8"/>
      <c r="T18" s="8"/>
    </row>
    <row r="19" spans="1:20">
      <c r="A19" s="13" t="s">
        <v>329</v>
      </c>
      <c r="B19" s="4"/>
      <c r="C19" s="4"/>
      <c r="D19" s="4"/>
      <c r="E19" s="4"/>
      <c r="F19" s="4"/>
      <c r="G19" s="4"/>
      <c r="H19" s="4" t="s">
        <v>39</v>
      </c>
      <c r="I19" s="4" t="s">
        <v>39</v>
      </c>
      <c r="J19" s="4"/>
      <c r="K19" s="4"/>
      <c r="L19" s="4"/>
      <c r="M19" s="4"/>
      <c r="N19" s="4"/>
      <c r="O19" s="4"/>
      <c r="P19" s="8"/>
      <c r="Q19" s="8"/>
      <c r="R19" s="8"/>
      <c r="S19" s="8"/>
      <c r="T19" s="8"/>
    </row>
    <row r="20" spans="1:20">
      <c r="A20" s="13" t="s">
        <v>330</v>
      </c>
      <c r="B20" s="4"/>
      <c r="C20" s="4"/>
      <c r="D20" s="4"/>
      <c r="E20" s="4"/>
      <c r="F20" s="4"/>
      <c r="G20" s="4"/>
      <c r="H20" s="4"/>
      <c r="I20" s="4"/>
      <c r="J20" s="4"/>
      <c r="K20" s="4"/>
      <c r="L20" s="4"/>
      <c r="M20" s="4"/>
      <c r="N20" s="4"/>
      <c r="O20" s="4" t="s">
        <v>39</v>
      </c>
      <c r="P20" s="8"/>
      <c r="Q20" s="8"/>
      <c r="R20" s="8"/>
      <c r="S20" s="8"/>
      <c r="T20" s="8"/>
    </row>
    <row r="21" spans="1:20">
      <c r="A21" s="13" t="s">
        <v>29</v>
      </c>
      <c r="B21" s="4"/>
      <c r="C21" s="4"/>
      <c r="D21" s="4"/>
      <c r="E21" s="4"/>
      <c r="F21" s="4"/>
      <c r="G21" s="4"/>
      <c r="H21" s="4"/>
      <c r="I21" s="4"/>
      <c r="J21" s="4" t="s">
        <v>39</v>
      </c>
      <c r="K21" s="4" t="s">
        <v>39</v>
      </c>
      <c r="L21" s="4" t="s">
        <v>39</v>
      </c>
      <c r="M21" s="4" t="s">
        <v>39</v>
      </c>
      <c r="N21" s="4"/>
      <c r="O21" s="4"/>
      <c r="P21" s="8"/>
      <c r="Q21" s="8"/>
      <c r="R21" s="8"/>
      <c r="S21" s="8"/>
      <c r="T21" s="8"/>
    </row>
    <row r="22" spans="1:20">
      <c r="A22" s="60"/>
      <c r="B22" s="61"/>
      <c r="C22" s="61"/>
      <c r="D22" s="61"/>
      <c r="E22" s="61"/>
      <c r="F22" s="61"/>
      <c r="G22" s="61"/>
      <c r="H22" s="61"/>
      <c r="I22" s="61"/>
      <c r="J22" s="61"/>
      <c r="K22" s="61"/>
      <c r="L22" s="61"/>
      <c r="M22" s="61"/>
      <c r="N22" s="61"/>
      <c r="O22" s="61"/>
      <c r="P22" s="57"/>
      <c r="Q22" s="57"/>
      <c r="R22" s="57"/>
      <c r="S22" s="57"/>
      <c r="T22" s="57"/>
    </row>
    <row r="23" spans="1:20" hidden="1">
      <c r="A23" s="16" t="s">
        <v>149</v>
      </c>
    </row>
    <row r="24" spans="1:20" hidden="1">
      <c r="B24" s="591" t="s">
        <v>42</v>
      </c>
      <c r="C24" s="594"/>
      <c r="D24" s="594"/>
      <c r="E24" s="595"/>
      <c r="F24" s="591" t="s">
        <v>41</v>
      </c>
      <c r="G24" s="595"/>
      <c r="H24" s="596" t="s">
        <v>23</v>
      </c>
      <c r="I24" s="597"/>
      <c r="J24" s="598" t="s">
        <v>8</v>
      </c>
      <c r="K24" s="599"/>
      <c r="L24" s="599"/>
      <c r="M24" s="599"/>
      <c r="N24" s="599"/>
      <c r="O24" s="599"/>
      <c r="P24" s="591" t="s">
        <v>143</v>
      </c>
      <c r="Q24" s="592"/>
      <c r="R24" s="592"/>
      <c r="S24" s="592"/>
      <c r="T24" s="593"/>
    </row>
    <row r="25" spans="1:20" ht="80" hidden="1">
      <c r="A25" s="11" t="s">
        <v>17</v>
      </c>
      <c r="B25" s="14" t="s">
        <v>11</v>
      </c>
      <c r="C25" s="14" t="s">
        <v>43</v>
      </c>
      <c r="D25" s="14" t="s">
        <v>12</v>
      </c>
      <c r="E25" s="14" t="s">
        <v>22</v>
      </c>
      <c r="F25" s="14" t="s">
        <v>9</v>
      </c>
      <c r="G25" s="14" t="s">
        <v>38</v>
      </c>
      <c r="H25" s="14" t="s">
        <v>3</v>
      </c>
      <c r="I25" s="14" t="s">
        <v>33</v>
      </c>
      <c r="J25" s="14" t="s">
        <v>7</v>
      </c>
      <c r="K25" s="14" t="s">
        <v>40</v>
      </c>
      <c r="L25" s="14" t="s">
        <v>117</v>
      </c>
      <c r="M25" s="14" t="s">
        <v>118</v>
      </c>
      <c r="N25" s="14" t="s">
        <v>4</v>
      </c>
      <c r="O25" s="14" t="s">
        <v>119</v>
      </c>
      <c r="P25" s="30" t="s">
        <v>150</v>
      </c>
      <c r="Q25" s="30" t="s">
        <v>144</v>
      </c>
      <c r="R25" s="30" t="s">
        <v>145</v>
      </c>
      <c r="S25" s="30" t="s">
        <v>146</v>
      </c>
      <c r="T25" s="30" t="s">
        <v>147</v>
      </c>
    </row>
    <row r="26" spans="1:20" hidden="1">
      <c r="A26" s="13" t="s">
        <v>0</v>
      </c>
      <c r="B26" s="58"/>
      <c r="C26" s="58" t="s">
        <v>5</v>
      </c>
      <c r="D26" s="58"/>
      <c r="E26" s="4"/>
      <c r="F26" s="4" t="s">
        <v>32</v>
      </c>
      <c r="G26" s="59"/>
      <c r="H26" s="4"/>
      <c r="I26" s="4"/>
      <c r="J26" s="4"/>
      <c r="K26" s="4"/>
      <c r="L26" s="4"/>
      <c r="M26" s="4"/>
      <c r="N26" s="4"/>
      <c r="O26" s="4"/>
      <c r="P26" s="8"/>
      <c r="Q26" s="8"/>
      <c r="R26" s="8" t="s">
        <v>139</v>
      </c>
      <c r="S26" s="8" t="s">
        <v>6</v>
      </c>
      <c r="T26" s="8"/>
    </row>
    <row r="27" spans="1:20" hidden="1">
      <c r="A27" s="13" t="s">
        <v>21</v>
      </c>
      <c r="B27" s="58"/>
      <c r="C27" s="58" t="s">
        <v>5</v>
      </c>
      <c r="D27" s="58"/>
      <c r="E27" s="4"/>
      <c r="F27" s="4" t="s">
        <v>10</v>
      </c>
      <c r="G27" s="4"/>
      <c r="H27" s="4"/>
      <c r="I27" s="4"/>
      <c r="J27" s="4"/>
      <c r="K27" s="4"/>
      <c r="L27" s="4"/>
      <c r="M27" s="4"/>
      <c r="N27" s="4"/>
      <c r="O27" s="4"/>
      <c r="P27" s="8"/>
      <c r="Q27" s="8"/>
      <c r="R27" s="8" t="s">
        <v>139</v>
      </c>
      <c r="S27" s="8" t="s">
        <v>6</v>
      </c>
      <c r="T27" s="8"/>
    </row>
    <row r="28" spans="1:20" hidden="1">
      <c r="A28" s="13" t="s">
        <v>14</v>
      </c>
      <c r="B28" s="58" t="s">
        <v>5</v>
      </c>
      <c r="C28" s="58" t="s">
        <v>5</v>
      </c>
      <c r="D28" s="58" t="s">
        <v>5</v>
      </c>
      <c r="E28" s="4"/>
      <c r="F28" s="4" t="s">
        <v>10</v>
      </c>
      <c r="G28" s="4" t="s">
        <v>10</v>
      </c>
      <c r="H28" s="4"/>
      <c r="I28" s="4"/>
      <c r="J28" s="4"/>
      <c r="K28" s="4"/>
      <c r="L28" s="4"/>
      <c r="M28" s="4"/>
      <c r="N28" s="4"/>
      <c r="O28" s="4"/>
      <c r="P28" s="8"/>
      <c r="Q28" s="8"/>
      <c r="R28" s="8" t="s">
        <v>151</v>
      </c>
      <c r="S28" s="8"/>
      <c r="T28" s="8"/>
    </row>
    <row r="29" spans="1:20" ht="14.5" hidden="1" customHeight="1">
      <c r="A29" s="13" t="s">
        <v>25</v>
      </c>
      <c r="B29" s="58" t="s">
        <v>5</v>
      </c>
      <c r="C29" s="58" t="s">
        <v>6</v>
      </c>
      <c r="D29" s="58" t="s">
        <v>5</v>
      </c>
      <c r="E29" s="4"/>
      <c r="F29" s="4"/>
      <c r="G29" s="4" t="s">
        <v>10</v>
      </c>
      <c r="H29" s="4"/>
      <c r="I29" s="4"/>
      <c r="J29" s="4"/>
      <c r="K29" s="4"/>
      <c r="L29" s="4"/>
      <c r="M29" s="4"/>
      <c r="N29" s="4"/>
      <c r="O29" s="4"/>
      <c r="P29" s="8"/>
      <c r="Q29" s="8"/>
      <c r="R29" s="8"/>
      <c r="S29" s="8"/>
      <c r="T29" s="8"/>
    </row>
    <row r="30" spans="1:20" hidden="1">
      <c r="A30" s="13" t="s">
        <v>108</v>
      </c>
      <c r="B30" s="58" t="s">
        <v>5</v>
      </c>
      <c r="C30" s="58"/>
      <c r="D30" s="58" t="s">
        <v>5</v>
      </c>
      <c r="E30" s="4"/>
      <c r="F30" s="4"/>
      <c r="G30" s="4"/>
      <c r="H30" s="4"/>
      <c r="I30" s="4"/>
      <c r="J30" s="4"/>
      <c r="K30" s="4"/>
      <c r="L30" s="4"/>
      <c r="M30" s="4"/>
      <c r="N30" s="4"/>
      <c r="O30" s="4"/>
      <c r="P30" s="4" t="s">
        <v>39</v>
      </c>
      <c r="Q30" s="8"/>
      <c r="R30" s="8"/>
      <c r="S30" s="8"/>
      <c r="T30" s="8"/>
    </row>
    <row r="31" spans="1:20" hidden="1">
      <c r="A31" s="13" t="s">
        <v>15</v>
      </c>
      <c r="B31" s="58" t="s">
        <v>5</v>
      </c>
      <c r="C31" s="4"/>
      <c r="D31" s="4" t="s">
        <v>5</v>
      </c>
      <c r="E31" s="4"/>
      <c r="F31" s="4"/>
      <c r="G31" s="4"/>
      <c r="H31" s="4"/>
      <c r="I31" s="4"/>
      <c r="J31" s="4"/>
      <c r="K31" s="4"/>
      <c r="L31" s="4"/>
      <c r="M31" s="4"/>
      <c r="N31" s="4"/>
      <c r="O31" s="4"/>
      <c r="P31" s="4" t="s">
        <v>39</v>
      </c>
      <c r="Q31" s="8"/>
      <c r="R31" s="8"/>
      <c r="S31" s="8"/>
      <c r="T31" s="8"/>
    </row>
    <row r="32" spans="1:20" hidden="1">
      <c r="A32" s="13" t="s">
        <v>16</v>
      </c>
      <c r="B32" s="58" t="s">
        <v>5</v>
      </c>
      <c r="C32" s="4"/>
      <c r="D32" s="4" t="s">
        <v>5</v>
      </c>
      <c r="E32" s="58" t="s">
        <v>5</v>
      </c>
      <c r="F32" s="4"/>
      <c r="G32" s="4"/>
      <c r="H32" s="4"/>
      <c r="I32" s="4"/>
      <c r="J32" s="4"/>
      <c r="K32" s="4"/>
      <c r="L32" s="4"/>
      <c r="M32" s="4"/>
      <c r="N32" s="4"/>
      <c r="O32" s="4"/>
      <c r="P32" s="8"/>
      <c r="Q32" s="8"/>
      <c r="R32" s="8"/>
      <c r="S32" s="8"/>
      <c r="T32" s="8"/>
    </row>
    <row r="33" spans="1:20" hidden="1">
      <c r="B33" s="26"/>
      <c r="C33" s="26"/>
      <c r="D33" s="26"/>
      <c r="E33" s="26"/>
      <c r="F33" s="26"/>
      <c r="G33" s="26"/>
      <c r="H33" s="26"/>
      <c r="I33" s="26"/>
      <c r="J33" s="26"/>
      <c r="K33" s="26"/>
      <c r="L33" s="26"/>
      <c r="M33" s="26"/>
      <c r="N33" s="26"/>
      <c r="O33" s="26"/>
      <c r="P33" s="26"/>
      <c r="Q33" s="26"/>
      <c r="R33" s="26"/>
      <c r="S33" s="26"/>
      <c r="T33" s="26"/>
    </row>
    <row r="34" spans="1:20" hidden="1">
      <c r="A34" s="11" t="s">
        <v>26</v>
      </c>
      <c r="B34" s="4"/>
      <c r="C34" s="4"/>
      <c r="D34" s="4"/>
      <c r="E34" s="4"/>
      <c r="F34" s="4"/>
      <c r="G34" s="4"/>
      <c r="H34" s="4"/>
      <c r="I34" s="4"/>
      <c r="J34" s="4"/>
      <c r="K34" s="4"/>
      <c r="L34" s="4"/>
      <c r="M34" s="4"/>
      <c r="N34" s="4"/>
      <c r="O34" s="4"/>
      <c r="P34" s="8"/>
      <c r="Q34" s="8"/>
      <c r="R34" s="8"/>
      <c r="S34" s="8"/>
      <c r="T34" s="8"/>
    </row>
    <row r="35" spans="1:20" hidden="1">
      <c r="A35" s="13" t="s">
        <v>28</v>
      </c>
      <c r="B35" s="4"/>
      <c r="C35" s="4"/>
      <c r="D35" s="4"/>
      <c r="E35" s="4"/>
      <c r="F35" s="4"/>
      <c r="G35" s="4"/>
      <c r="H35" s="4"/>
      <c r="I35" s="4"/>
      <c r="J35" s="4" t="s">
        <v>39</v>
      </c>
      <c r="K35" s="4" t="s">
        <v>39</v>
      </c>
      <c r="L35" s="4" t="s">
        <v>39</v>
      </c>
      <c r="M35" s="4"/>
      <c r="N35" s="4" t="s">
        <v>39</v>
      </c>
      <c r="O35" s="4" t="s">
        <v>120</v>
      </c>
      <c r="P35" s="4" t="s">
        <v>39</v>
      </c>
      <c r="Q35" s="8"/>
      <c r="R35" s="8"/>
      <c r="S35" s="8"/>
      <c r="T35" s="8"/>
    </row>
    <row r="36" spans="1:20" hidden="1">
      <c r="A36" s="13" t="s">
        <v>29</v>
      </c>
      <c r="B36" s="4"/>
      <c r="C36" s="4"/>
      <c r="D36" s="4"/>
      <c r="E36" s="4"/>
      <c r="F36" s="4"/>
      <c r="G36" s="4"/>
      <c r="H36" s="4"/>
      <c r="I36" s="4"/>
      <c r="J36" s="4" t="s">
        <v>39</v>
      </c>
      <c r="K36" s="4" t="s">
        <v>39</v>
      </c>
      <c r="L36" s="4" t="s">
        <v>39</v>
      </c>
      <c r="M36" s="4" t="s">
        <v>39</v>
      </c>
      <c r="N36" s="4"/>
      <c r="O36" s="4"/>
      <c r="P36" s="8"/>
      <c r="Q36" s="8"/>
      <c r="R36" s="8"/>
      <c r="S36" s="8"/>
      <c r="T36" s="8"/>
    </row>
    <row r="37" spans="1:20" hidden="1">
      <c r="A37" s="13" t="s">
        <v>18</v>
      </c>
      <c r="B37" s="4"/>
      <c r="C37" s="4"/>
      <c r="D37" s="4"/>
      <c r="E37" s="4"/>
      <c r="F37" s="4"/>
      <c r="G37" s="4"/>
      <c r="H37" s="4" t="s">
        <v>39</v>
      </c>
      <c r="I37" s="4" t="s">
        <v>39</v>
      </c>
      <c r="J37" s="4"/>
      <c r="K37" s="4"/>
      <c r="L37" s="4"/>
      <c r="M37" s="4"/>
      <c r="N37" s="4"/>
      <c r="O37" s="4"/>
      <c r="P37" s="8"/>
      <c r="Q37" s="8"/>
      <c r="R37" s="8"/>
      <c r="S37" s="8"/>
      <c r="T37" s="8"/>
    </row>
    <row r="38" spans="1:20" hidden="1">
      <c r="A38" s="13" t="s">
        <v>30</v>
      </c>
      <c r="B38" s="4"/>
      <c r="C38" s="4"/>
      <c r="D38" s="4"/>
      <c r="E38" s="4"/>
      <c r="F38" s="4"/>
      <c r="G38" s="4"/>
      <c r="H38" s="4" t="s">
        <v>39</v>
      </c>
      <c r="I38" s="4" t="s">
        <v>39</v>
      </c>
      <c r="J38" s="4"/>
      <c r="K38" s="4"/>
      <c r="L38" s="4"/>
      <c r="M38" s="4"/>
      <c r="N38" s="4"/>
      <c r="O38" s="4"/>
      <c r="P38" s="8"/>
      <c r="Q38" s="8"/>
      <c r="R38" s="8"/>
      <c r="S38" s="8"/>
      <c r="T38" s="8"/>
    </row>
    <row r="39" spans="1:20" hidden="1">
      <c r="A39" s="13" t="s">
        <v>31</v>
      </c>
      <c r="B39" s="4"/>
      <c r="C39" s="4"/>
      <c r="D39" s="4"/>
      <c r="E39" s="4"/>
      <c r="F39" s="4"/>
      <c r="G39" s="4"/>
      <c r="H39" s="4" t="s">
        <v>39</v>
      </c>
      <c r="I39" s="4" t="s">
        <v>39</v>
      </c>
      <c r="J39" s="4"/>
      <c r="K39" s="4"/>
      <c r="L39" s="4"/>
      <c r="M39" s="4"/>
      <c r="N39" s="4"/>
      <c r="O39" s="4"/>
      <c r="P39" s="8"/>
      <c r="Q39" s="8"/>
      <c r="R39" s="8"/>
      <c r="S39" s="8"/>
      <c r="T39" s="8"/>
    </row>
    <row r="40" spans="1:20" hidden="1">
      <c r="A40" s="13" t="s">
        <v>27</v>
      </c>
      <c r="B40" s="4"/>
      <c r="C40" s="4" t="s">
        <v>5</v>
      </c>
      <c r="D40" s="4"/>
      <c r="E40" s="4"/>
      <c r="F40" s="4" t="s">
        <v>10</v>
      </c>
      <c r="G40" s="4"/>
      <c r="H40" s="4"/>
      <c r="I40" s="4"/>
      <c r="J40" s="4"/>
      <c r="K40" s="4"/>
      <c r="L40" s="4"/>
      <c r="M40" s="4"/>
      <c r="N40" s="4"/>
      <c r="O40" s="4"/>
      <c r="P40" s="8"/>
      <c r="Q40" s="8"/>
      <c r="R40" s="8"/>
      <c r="S40" s="8"/>
      <c r="T40" s="8"/>
    </row>
    <row r="41" spans="1:20" hidden="1">
      <c r="A41" s="13" t="s">
        <v>19</v>
      </c>
      <c r="B41" s="4"/>
      <c r="C41" s="4" t="s">
        <v>5</v>
      </c>
      <c r="D41" s="4" t="s">
        <v>5</v>
      </c>
      <c r="E41" s="4"/>
      <c r="F41" s="4" t="s">
        <v>10</v>
      </c>
      <c r="G41" s="4"/>
      <c r="H41" s="4"/>
      <c r="I41" s="4"/>
      <c r="J41" s="4" t="s">
        <v>39</v>
      </c>
      <c r="K41" s="4" t="s">
        <v>39</v>
      </c>
      <c r="L41" s="4" t="s">
        <v>39</v>
      </c>
      <c r="M41" s="4"/>
      <c r="N41" s="4" t="s">
        <v>39</v>
      </c>
      <c r="O41" s="4" t="s">
        <v>39</v>
      </c>
      <c r="P41" s="8"/>
      <c r="Q41" s="8"/>
      <c r="R41" s="8"/>
      <c r="S41" s="8"/>
      <c r="T41" s="8"/>
    </row>
    <row r="42" spans="1:20" customFormat="1" hidden="1"/>
    <row r="43" spans="1:20" customFormat="1" hidden="1"/>
    <row r="44" spans="1:20" hidden="1">
      <c r="A44" s="27" t="s">
        <v>121</v>
      </c>
      <c r="G44" s="15" t="s">
        <v>122</v>
      </c>
      <c r="K44" s="15" t="s">
        <v>123</v>
      </c>
      <c r="M44" s="15" t="s">
        <v>124</v>
      </c>
      <c r="P44" s="29"/>
      <c r="Q44" s="22"/>
    </row>
    <row r="45" spans="1:20" hidden="1">
      <c r="A45" s="28" t="s">
        <v>125</v>
      </c>
      <c r="G45" s="15" t="s">
        <v>126</v>
      </c>
      <c r="P45" s="29"/>
      <c r="Q45" s="22"/>
    </row>
    <row r="46" spans="1:20" hidden="1">
      <c r="A46" s="28" t="s">
        <v>127</v>
      </c>
      <c r="G46" s="15" t="s">
        <v>128</v>
      </c>
      <c r="P46" s="29"/>
      <c r="Q46" s="22"/>
    </row>
    <row r="47" spans="1:20" hidden="1">
      <c r="A47" s="28" t="s">
        <v>129</v>
      </c>
      <c r="G47" s="15" t="s">
        <v>130</v>
      </c>
      <c r="P47" s="29"/>
      <c r="Q47" s="22"/>
    </row>
    <row r="48" spans="1:20" hidden="1">
      <c r="A48" s="28" t="s">
        <v>131</v>
      </c>
      <c r="P48" s="29"/>
      <c r="Q48" s="22"/>
    </row>
    <row r="49" spans="1:7" hidden="1">
      <c r="G49" s="15" t="s">
        <v>132</v>
      </c>
    </row>
    <row r="50" spans="1:7" hidden="1"/>
    <row r="51" spans="1:7" hidden="1">
      <c r="G51" s="15" t="s">
        <v>133</v>
      </c>
    </row>
    <row r="52" spans="1:7" hidden="1"/>
    <row r="55" spans="1:7" hidden="1">
      <c r="A55" s="15" t="s">
        <v>134</v>
      </c>
    </row>
  </sheetData>
  <mergeCells count="10">
    <mergeCell ref="P3:T3"/>
    <mergeCell ref="P24:T24"/>
    <mergeCell ref="B24:E24"/>
    <mergeCell ref="F24:G24"/>
    <mergeCell ref="H24:I24"/>
    <mergeCell ref="J24:O24"/>
    <mergeCell ref="B3:E3"/>
    <mergeCell ref="F3:G3"/>
    <mergeCell ref="H3:I3"/>
    <mergeCell ref="J3:O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tint="-0.249977111117893"/>
  </sheetPr>
  <dimension ref="A1:Y40"/>
  <sheetViews>
    <sheetView showGridLines="0" workbookViewId="0">
      <selection activeCell="C42" sqref="C42"/>
    </sheetView>
  </sheetViews>
  <sheetFormatPr baseColWidth="10" defaultColWidth="8.83203125" defaultRowHeight="15"/>
  <cols>
    <col min="1" max="1" width="19.83203125" customWidth="1"/>
    <col min="2" max="2" width="12.83203125" customWidth="1"/>
    <col min="3" max="12" width="14.5" customWidth="1"/>
  </cols>
  <sheetData>
    <row r="1" spans="1:17" s="15" customFormat="1">
      <c r="A1" s="16"/>
      <c r="P1" t="s">
        <v>96</v>
      </c>
      <c r="Q1" s="23">
        <v>9.9999999999999998E-13</v>
      </c>
    </row>
    <row r="2" spans="1:17" s="15" customFormat="1">
      <c r="A2" s="16" t="s">
        <v>111</v>
      </c>
    </row>
    <row r="3" spans="1:17" s="15" customFormat="1">
      <c r="C3" s="3" t="s">
        <v>66</v>
      </c>
      <c r="D3" s="3" t="s">
        <v>67</v>
      </c>
      <c r="E3" s="3" t="s">
        <v>68</v>
      </c>
      <c r="F3" s="3" t="s">
        <v>69</v>
      </c>
      <c r="G3" s="3" t="s">
        <v>70</v>
      </c>
      <c r="H3" s="3" t="s">
        <v>71</v>
      </c>
      <c r="I3" s="3" t="s">
        <v>72</v>
      </c>
      <c r="J3" s="3" t="s">
        <v>73</v>
      </c>
      <c r="K3" s="3" t="s">
        <v>74</v>
      </c>
      <c r="L3" s="3" t="s">
        <v>75</v>
      </c>
    </row>
    <row r="4" spans="1:17" s="15" customFormat="1">
      <c r="A4" s="17" t="s">
        <v>112</v>
      </c>
      <c r="C4" s="25">
        <f>IF('Market Adjustment Tool'!$B$75="Yes",100%,'Market Adjustment Tool'!B78)</f>
        <v>0.6</v>
      </c>
      <c r="D4" s="25">
        <f>IF('Market Adjustment Tool'!$B$75="Yes",100%,'Market Adjustment Tool'!C78)</f>
        <v>0.75</v>
      </c>
      <c r="E4" s="25">
        <f>IF('Market Adjustment Tool'!$B$75="Yes",100%,'Market Adjustment Tool'!D78)</f>
        <v>0.8</v>
      </c>
      <c r="F4" s="25">
        <f>IF('Market Adjustment Tool'!$B$75="Yes",100%,'Market Adjustment Tool'!E78)</f>
        <v>1</v>
      </c>
      <c r="G4" s="25">
        <f>IF('Market Adjustment Tool'!$B$75="Yes",100%,'Market Adjustment Tool'!F78)</f>
        <v>1</v>
      </c>
      <c r="H4" s="25">
        <f>IF('Market Adjustment Tool'!$B$75="Yes",100%,'Market Adjustment Tool'!G78)</f>
        <v>1</v>
      </c>
      <c r="I4" s="25">
        <f>IF('Market Adjustment Tool'!$B$75="Yes",100%,'Market Adjustment Tool'!H78)</f>
        <v>1</v>
      </c>
      <c r="J4" s="25">
        <f>IF('Market Adjustment Tool'!$B$75="Yes",100%,'Market Adjustment Tool'!I78)</f>
        <v>1</v>
      </c>
      <c r="K4" s="25">
        <f>IF('Market Adjustment Tool'!$B$75="Yes",100%,'Market Adjustment Tool'!J78)</f>
        <v>1</v>
      </c>
      <c r="L4" s="25">
        <f>IF('Market Adjustment Tool'!$B$75="Yes",100%,'Market Adjustment Tool'!K78)</f>
        <v>1</v>
      </c>
    </row>
    <row r="5" spans="1:17" s="15" customFormat="1">
      <c r="A5" s="17" t="s">
        <v>113</v>
      </c>
      <c r="C5" s="25">
        <f>IF('Market Adjustment Tool'!$B$75="Yes",100%,'Market Adjustment Tool'!B85)</f>
        <v>0.2</v>
      </c>
      <c r="D5" s="25">
        <f ca="1">IF('Market Adjustment Tool'!$B$75="Yes",100%,'Market Adjustment Tool'!C85)</f>
        <v>0.25</v>
      </c>
      <c r="E5" s="25">
        <f ca="1">IF('Market Adjustment Tool'!$B$75="Yes",100%,'Market Adjustment Tool'!D85)</f>
        <v>0.33333333333333331</v>
      </c>
      <c r="F5" s="25">
        <f ca="1">IF('Market Adjustment Tool'!$B$75="Yes",100%,'Market Adjustment Tool'!E85)</f>
        <v>0.5</v>
      </c>
      <c r="G5" s="25">
        <f ca="1">IF('Market Adjustment Tool'!$B$75="Yes",100%,'Market Adjustment Tool'!F85)</f>
        <v>1</v>
      </c>
      <c r="H5" s="25">
        <f ca="1">IF('Market Adjustment Tool'!$B$75="Yes",100%,'Market Adjustment Tool'!G85)</f>
        <v>1</v>
      </c>
      <c r="I5" s="25">
        <f ca="1">IF('Market Adjustment Tool'!$B$75="Yes",100%,'Market Adjustment Tool'!H85)</f>
        <v>1</v>
      </c>
      <c r="J5" s="25">
        <f ca="1">IF('Market Adjustment Tool'!$B$75="Yes",100%,'Market Adjustment Tool'!I85)</f>
        <v>1</v>
      </c>
      <c r="K5" s="25">
        <f ca="1">IF('Market Adjustment Tool'!$B$75="Yes",100%,'Market Adjustment Tool'!J85)</f>
        <v>1</v>
      </c>
      <c r="L5" s="25">
        <f ca="1">IF('Market Adjustment Tool'!$B$75="Yes",100%,'Market Adjustment Tool'!K85)</f>
        <v>1</v>
      </c>
    </row>
    <row r="6" spans="1:17" s="15" customFormat="1"/>
    <row r="7" spans="1:17" s="15" customFormat="1">
      <c r="A7" s="15" t="s">
        <v>114</v>
      </c>
      <c r="C7" s="25">
        <f>IF('Market Adjustment Tool'!$B$75="No",'Market Adjustment Tool'!$B$87,1)</f>
        <v>0.9</v>
      </c>
    </row>
    <row r="8" spans="1:17" s="15" customFormat="1"/>
    <row r="10" spans="1:17" s="15" customFormat="1">
      <c r="A10" s="16" t="s">
        <v>93</v>
      </c>
    </row>
    <row r="11" spans="1:17" s="63" customFormat="1">
      <c r="A11" s="16"/>
    </row>
    <row r="12" spans="1:17" s="63" customFormat="1">
      <c r="A12" s="15" t="s">
        <v>83</v>
      </c>
      <c r="B12" s="107">
        <f ca="1">IF('Market Adjustment Tool'!F68&lt;&gt;"",'Market Adjustment Tool'!F68,'Market Adjustment Tool'!C68)</f>
        <v>0.32828830161724087</v>
      </c>
    </row>
    <row r="13" spans="1:17" s="63" customFormat="1">
      <c r="A13" s="63" t="s">
        <v>1540</v>
      </c>
      <c r="B13" s="107">
        <f ca="1">IF('Market Adjustment Tool'!F69&lt;&gt;"",'Market Adjustment Tool'!F69,'Market Adjustment Tool'!C69)</f>
        <v>0</v>
      </c>
    </row>
    <row r="14" spans="1:17" s="63" customFormat="1">
      <c r="A14" s="16"/>
    </row>
    <row r="15" spans="1:17" s="63" customFormat="1">
      <c r="C15" s="3" t="s">
        <v>66</v>
      </c>
      <c r="D15" s="3" t="s">
        <v>67</v>
      </c>
      <c r="E15" s="3" t="s">
        <v>68</v>
      </c>
      <c r="F15" s="3" t="s">
        <v>69</v>
      </c>
      <c r="G15" s="3" t="s">
        <v>70</v>
      </c>
      <c r="H15" s="3" t="s">
        <v>71</v>
      </c>
      <c r="I15" s="3" t="s">
        <v>72</v>
      </c>
      <c r="J15" s="3" t="s">
        <v>73</v>
      </c>
      <c r="K15" s="3" t="s">
        <v>74</v>
      </c>
      <c r="L15" s="3" t="s">
        <v>75</v>
      </c>
    </row>
    <row r="16" spans="1:17" s="63" customFormat="1">
      <c r="A16" s="63" t="s">
        <v>82</v>
      </c>
      <c r="C16" s="121">
        <f ca="1">ROUND(B$13,0)</f>
        <v>0</v>
      </c>
      <c r="D16" s="84">
        <f t="shared" ref="D16:L16" ca="1" si="0">ROUND((C16+C18-C20)*$C$7,0)</f>
        <v>0</v>
      </c>
      <c r="E16" s="84">
        <f t="shared" ca="1" si="0"/>
        <v>0</v>
      </c>
      <c r="F16" s="84">
        <f t="shared" ca="1" si="0"/>
        <v>0</v>
      </c>
      <c r="G16" s="84">
        <f t="shared" ca="1" si="0"/>
        <v>0</v>
      </c>
      <c r="H16" s="84">
        <f t="shared" ca="1" si="0"/>
        <v>0</v>
      </c>
      <c r="I16" s="84">
        <f t="shared" ca="1" si="0"/>
        <v>0</v>
      </c>
      <c r="J16" s="84">
        <f t="shared" ca="1" si="0"/>
        <v>0</v>
      </c>
      <c r="K16" s="84">
        <f t="shared" ca="1" si="0"/>
        <v>0</v>
      </c>
      <c r="L16" s="84">
        <f t="shared" ca="1" si="0"/>
        <v>0</v>
      </c>
    </row>
    <row r="17" spans="1:25" s="63" customFormat="1">
      <c r="A17" s="63" t="s">
        <v>1555</v>
      </c>
      <c r="C17" s="121">
        <f ca="1">ROUND(C$16*C$5,0)</f>
        <v>0</v>
      </c>
      <c r="D17" s="84">
        <f t="shared" ref="D17:L17" ca="1" si="1">ROUND(D$16*D$5,0)</f>
        <v>0</v>
      </c>
      <c r="E17" s="84">
        <f t="shared" ca="1" si="1"/>
        <v>0</v>
      </c>
      <c r="F17" s="84">
        <f t="shared" ca="1" si="1"/>
        <v>0</v>
      </c>
      <c r="G17" s="84">
        <f t="shared" ca="1" si="1"/>
        <v>0</v>
      </c>
      <c r="H17" s="84">
        <f t="shared" ca="1" si="1"/>
        <v>0</v>
      </c>
      <c r="I17" s="84">
        <f t="shared" ca="1" si="1"/>
        <v>0</v>
      </c>
      <c r="J17" s="84">
        <f t="shared" ca="1" si="1"/>
        <v>0</v>
      </c>
      <c r="K17" s="84">
        <f t="shared" ca="1" si="1"/>
        <v>0</v>
      </c>
      <c r="L17" s="84">
        <f t="shared" ca="1" si="1"/>
        <v>0</v>
      </c>
    </row>
    <row r="18" spans="1:25" s="63" customFormat="1">
      <c r="A18" s="63" t="s">
        <v>1556</v>
      </c>
      <c r="C18" s="84">
        <f ca="1">ROUND($B$12,0)</f>
        <v>0</v>
      </c>
      <c r="D18" s="84">
        <f t="shared" ref="D18:L18" ca="1" si="2">ROUND($B$12,0)</f>
        <v>0</v>
      </c>
      <c r="E18" s="84">
        <f t="shared" ca="1" si="2"/>
        <v>0</v>
      </c>
      <c r="F18" s="84">
        <f t="shared" ca="1" si="2"/>
        <v>0</v>
      </c>
      <c r="G18" s="84">
        <f t="shared" ca="1" si="2"/>
        <v>0</v>
      </c>
      <c r="H18" s="84">
        <f t="shared" ca="1" si="2"/>
        <v>0</v>
      </c>
      <c r="I18" s="84">
        <f t="shared" ca="1" si="2"/>
        <v>0</v>
      </c>
      <c r="J18" s="84">
        <f t="shared" ca="1" si="2"/>
        <v>0</v>
      </c>
      <c r="K18" s="84">
        <f t="shared" ca="1" si="2"/>
        <v>0</v>
      </c>
      <c r="L18" s="84">
        <f t="shared" ca="1" si="2"/>
        <v>0</v>
      </c>
    </row>
    <row r="19" spans="1:25" s="63" customFormat="1">
      <c r="A19" s="63" t="s">
        <v>1557</v>
      </c>
      <c r="C19" s="84">
        <f ca="1">ROUND(C$18*C$4,0)</f>
        <v>0</v>
      </c>
      <c r="D19" s="84">
        <f t="shared" ref="D19:L19" ca="1" si="3">ROUND(D$18*D$4,0)</f>
        <v>0</v>
      </c>
      <c r="E19" s="84">
        <f t="shared" ca="1" si="3"/>
        <v>0</v>
      </c>
      <c r="F19" s="84">
        <f t="shared" ca="1" si="3"/>
        <v>0</v>
      </c>
      <c r="G19" s="84">
        <f t="shared" ca="1" si="3"/>
        <v>0</v>
      </c>
      <c r="H19" s="84">
        <f t="shared" ca="1" si="3"/>
        <v>0</v>
      </c>
      <c r="I19" s="84">
        <f t="shared" ca="1" si="3"/>
        <v>0</v>
      </c>
      <c r="J19" s="84">
        <f t="shared" ca="1" si="3"/>
        <v>0</v>
      </c>
      <c r="K19" s="84">
        <f t="shared" ca="1" si="3"/>
        <v>0</v>
      </c>
      <c r="L19" s="84">
        <f t="shared" ca="1" si="3"/>
        <v>0</v>
      </c>
    </row>
    <row r="20" spans="1:25" s="15" customFormat="1">
      <c r="A20" s="63" t="s">
        <v>1558</v>
      </c>
      <c r="B20" s="63"/>
      <c r="C20" s="84">
        <f t="shared" ref="C20:L20" ca="1" si="4">C17+C19</f>
        <v>0</v>
      </c>
      <c r="D20" s="84">
        <f t="shared" ca="1" si="4"/>
        <v>0</v>
      </c>
      <c r="E20" s="84">
        <f t="shared" ca="1" si="4"/>
        <v>0</v>
      </c>
      <c r="F20" s="84">
        <f t="shared" ca="1" si="4"/>
        <v>0</v>
      </c>
      <c r="G20" s="84">
        <f t="shared" ca="1" si="4"/>
        <v>0</v>
      </c>
      <c r="H20" s="84">
        <f t="shared" ca="1" si="4"/>
        <v>0</v>
      </c>
      <c r="I20" s="84">
        <f t="shared" ca="1" si="4"/>
        <v>0</v>
      </c>
      <c r="J20" s="84">
        <f t="shared" ca="1" si="4"/>
        <v>0</v>
      </c>
      <c r="K20" s="84">
        <f t="shared" ca="1" si="4"/>
        <v>0</v>
      </c>
      <c r="L20" s="84">
        <f t="shared" ca="1" si="4"/>
        <v>0</v>
      </c>
    </row>
    <row r="21" spans="1:25" s="15" customFormat="1"/>
    <row r="22" spans="1:25" s="63" customFormat="1">
      <c r="A22" s="16" t="s">
        <v>1561</v>
      </c>
    </row>
    <row r="23" spans="1:25" s="63" customFormat="1"/>
    <row r="24" spans="1:25">
      <c r="C24" s="3" t="s">
        <v>66</v>
      </c>
      <c r="D24" s="3" t="s">
        <v>67</v>
      </c>
      <c r="E24" s="3" t="s">
        <v>68</v>
      </c>
      <c r="F24" s="3" t="s">
        <v>69</v>
      </c>
      <c r="G24" s="3" t="s">
        <v>70</v>
      </c>
      <c r="H24" s="3" t="s">
        <v>71</v>
      </c>
      <c r="I24" s="3" t="s">
        <v>72</v>
      </c>
      <c r="J24" s="3" t="s">
        <v>73</v>
      </c>
      <c r="K24" s="3" t="s">
        <v>74</v>
      </c>
      <c r="L24" s="3" t="s">
        <v>75</v>
      </c>
    </row>
    <row r="25" spans="1:25">
      <c r="A25" t="s">
        <v>82</v>
      </c>
      <c r="C25" s="121">
        <f ca="1">ROUND(IF(B$13&gt;1,_xlfn.BINOM.INV('Therapy Impact Modeling Tool'!$B$47,$B$13/'Therapy Impact Modeling Tool'!$B$47,RAND()),IF(RAND()&lt;B$13,1,0)),0)</f>
        <v>0</v>
      </c>
      <c r="D25" s="84">
        <f t="shared" ref="D25:L25" ca="1" si="5">ROUND((C25+C27-C29)*$C$7,0)</f>
        <v>0</v>
      </c>
      <c r="E25" s="84">
        <f t="shared" ca="1" si="5"/>
        <v>0</v>
      </c>
      <c r="F25" s="84">
        <f t="shared" ca="1" si="5"/>
        <v>0</v>
      </c>
      <c r="G25" s="84">
        <f t="shared" ca="1" si="5"/>
        <v>0</v>
      </c>
      <c r="H25" s="84">
        <f t="shared" ca="1" si="5"/>
        <v>0</v>
      </c>
      <c r="I25" s="84">
        <f t="shared" ca="1" si="5"/>
        <v>0</v>
      </c>
      <c r="J25" s="84">
        <f t="shared" ca="1" si="5"/>
        <v>0</v>
      </c>
      <c r="K25" s="84">
        <f t="shared" ca="1" si="5"/>
        <v>0</v>
      </c>
      <c r="L25" s="84">
        <f t="shared" ca="1" si="5"/>
        <v>0</v>
      </c>
      <c r="N25" s="105"/>
      <c r="O25" s="105"/>
      <c r="P25" s="105"/>
      <c r="Q25" s="105"/>
      <c r="R25" s="105"/>
      <c r="S25" s="105"/>
      <c r="T25" s="105"/>
      <c r="U25" s="105"/>
      <c r="V25" s="105"/>
      <c r="W25" s="105"/>
      <c r="X25" s="105"/>
      <c r="Y25" s="18"/>
    </row>
    <row r="26" spans="1:25" s="63" customFormat="1">
      <c r="A26" s="63" t="s">
        <v>1555</v>
      </c>
      <c r="C26" s="121">
        <f t="shared" ref="C26:L26" ca="1" si="6">ROUND(C$25*C$5,0)</f>
        <v>0</v>
      </c>
      <c r="D26" s="84">
        <f t="shared" ca="1" si="6"/>
        <v>0</v>
      </c>
      <c r="E26" s="84">
        <f t="shared" ca="1" si="6"/>
        <v>0</v>
      </c>
      <c r="F26" s="84">
        <f t="shared" ca="1" si="6"/>
        <v>0</v>
      </c>
      <c r="G26" s="84">
        <f t="shared" ca="1" si="6"/>
        <v>0</v>
      </c>
      <c r="H26" s="84">
        <f t="shared" ca="1" si="6"/>
        <v>0</v>
      </c>
      <c r="I26" s="84">
        <f t="shared" ca="1" si="6"/>
        <v>0</v>
      </c>
      <c r="J26" s="84">
        <f t="shared" ca="1" si="6"/>
        <v>0</v>
      </c>
      <c r="K26" s="84">
        <f t="shared" ca="1" si="6"/>
        <v>0</v>
      </c>
      <c r="L26" s="84">
        <f t="shared" ca="1" si="6"/>
        <v>0</v>
      </c>
      <c r="N26" s="105"/>
      <c r="O26" s="105"/>
      <c r="P26" s="105"/>
      <c r="Q26" s="105"/>
      <c r="R26" s="105"/>
      <c r="S26" s="105"/>
      <c r="T26" s="105"/>
      <c r="U26" s="105"/>
      <c r="V26" s="105"/>
      <c r="W26" s="105"/>
      <c r="X26" s="105"/>
      <c r="Y26" s="18"/>
    </row>
    <row r="27" spans="1:25">
      <c r="A27" t="s">
        <v>1556</v>
      </c>
      <c r="C27" s="84">
        <f ca="1">ROUND(IF($B$12&gt;1,_xlfn.BINOM.INV('Therapy Impact Modeling Tool'!$B$47,$B$12/'Therapy Impact Modeling Tool'!$B$47,RAND()),IF(RAND()&lt;$B$12,1,0)),0)</f>
        <v>0</v>
      </c>
      <c r="D27" s="84">
        <f ca="1">ROUND(IF($B$12&gt;1,_xlfn.BINOM.INV('Therapy Impact Modeling Tool'!$B$47,$B$12/'Therapy Impact Modeling Tool'!$B$47,RAND()),IF(RAND()&lt;$B$12,1,0)),0)</f>
        <v>0</v>
      </c>
      <c r="E27" s="84">
        <f ca="1">ROUND(IF($B$12&gt;1,_xlfn.BINOM.INV('Therapy Impact Modeling Tool'!$B$47,$B$12/'Therapy Impact Modeling Tool'!$B$47,RAND()),IF(RAND()&lt;$B$12,1,0)),0)</f>
        <v>1</v>
      </c>
      <c r="F27" s="84">
        <f ca="1">ROUND(IF($B$12&gt;1,_xlfn.BINOM.INV('Therapy Impact Modeling Tool'!$B$47,$B$12/'Therapy Impact Modeling Tool'!$B$47,RAND()),IF(RAND()&lt;$B$12,1,0)),0)</f>
        <v>0</v>
      </c>
      <c r="G27" s="84">
        <f ca="1">ROUND(IF($B$12&gt;1,_xlfn.BINOM.INV('Therapy Impact Modeling Tool'!$B$47,$B$12/'Therapy Impact Modeling Tool'!$B$47,RAND()),IF(RAND()&lt;$B$12,1,0)),0)</f>
        <v>0</v>
      </c>
      <c r="H27" s="84">
        <f ca="1">ROUND(IF($B$12&gt;1,_xlfn.BINOM.INV('Therapy Impact Modeling Tool'!$B$47,$B$12/'Therapy Impact Modeling Tool'!$B$47,RAND()),IF(RAND()&lt;$B$12,1,0)),0)</f>
        <v>0</v>
      </c>
      <c r="I27" s="84">
        <f ca="1">ROUND(IF($B$12&gt;1,_xlfn.BINOM.INV('Therapy Impact Modeling Tool'!$B$47,$B$12/'Therapy Impact Modeling Tool'!$B$47,RAND()),IF(RAND()&lt;$B$12,1,0)),0)</f>
        <v>0</v>
      </c>
      <c r="J27" s="84">
        <f ca="1">ROUND(IF($B$12&gt;1,_xlfn.BINOM.INV('Therapy Impact Modeling Tool'!$B$47,$B$12/'Therapy Impact Modeling Tool'!$B$47,RAND()),IF(RAND()&lt;$B$12,1,0)),0)</f>
        <v>0</v>
      </c>
      <c r="K27" s="84">
        <f ca="1">ROUND(IF($B$12&gt;1,_xlfn.BINOM.INV('Therapy Impact Modeling Tool'!$B$47,$B$12/'Therapy Impact Modeling Tool'!$B$47,RAND()),IF(RAND()&lt;$B$12,1,0)),0)</f>
        <v>1</v>
      </c>
      <c r="L27" s="84">
        <f ca="1">ROUND(IF($B$12&gt;1,_xlfn.BINOM.INV('Therapy Impact Modeling Tool'!$B$47,$B$12/'Therapy Impact Modeling Tool'!$B$47,RAND()),IF(RAND()&lt;$B$12,1,0)),0)</f>
        <v>0</v>
      </c>
    </row>
    <row r="28" spans="1:25" s="63" customFormat="1">
      <c r="A28" s="63" t="s">
        <v>1557</v>
      </c>
      <c r="C28" s="84">
        <f t="shared" ref="C28:L28" ca="1" si="7">ROUND(C$27*C$4,0)</f>
        <v>0</v>
      </c>
      <c r="D28" s="84">
        <f t="shared" ca="1" si="7"/>
        <v>0</v>
      </c>
      <c r="E28" s="84">
        <f t="shared" ca="1" si="7"/>
        <v>1</v>
      </c>
      <c r="F28" s="84">
        <f t="shared" ca="1" si="7"/>
        <v>0</v>
      </c>
      <c r="G28" s="84">
        <f t="shared" ca="1" si="7"/>
        <v>0</v>
      </c>
      <c r="H28" s="84">
        <f t="shared" ca="1" si="7"/>
        <v>0</v>
      </c>
      <c r="I28" s="84">
        <f t="shared" ca="1" si="7"/>
        <v>0</v>
      </c>
      <c r="J28" s="84">
        <f t="shared" ca="1" si="7"/>
        <v>0</v>
      </c>
      <c r="K28" s="84">
        <f t="shared" ca="1" si="7"/>
        <v>1</v>
      </c>
      <c r="L28" s="84">
        <f t="shared" ca="1" si="7"/>
        <v>0</v>
      </c>
    </row>
    <row r="29" spans="1:25" s="15" customFormat="1">
      <c r="A29" s="15" t="s">
        <v>1558</v>
      </c>
      <c r="C29" s="84">
        <f t="shared" ref="C29:L29" ca="1" si="8">C26+C28</f>
        <v>0</v>
      </c>
      <c r="D29" s="84">
        <f t="shared" ca="1" si="8"/>
        <v>0</v>
      </c>
      <c r="E29" s="84">
        <f t="shared" ca="1" si="8"/>
        <v>1</v>
      </c>
      <c r="F29" s="84">
        <f t="shared" ca="1" si="8"/>
        <v>0</v>
      </c>
      <c r="G29" s="84">
        <f t="shared" ca="1" si="8"/>
        <v>0</v>
      </c>
      <c r="H29" s="84">
        <f t="shared" ca="1" si="8"/>
        <v>0</v>
      </c>
      <c r="I29" s="84">
        <f t="shared" ca="1" si="8"/>
        <v>0</v>
      </c>
      <c r="J29" s="84">
        <f t="shared" ca="1" si="8"/>
        <v>0</v>
      </c>
      <c r="K29" s="84">
        <f t="shared" ca="1" si="8"/>
        <v>1</v>
      </c>
      <c r="L29" s="84">
        <f t="shared" ca="1" si="8"/>
        <v>0</v>
      </c>
    </row>
    <row r="30" spans="1:25">
      <c r="B30" s="15"/>
      <c r="C30" s="15"/>
      <c r="D30" s="15"/>
      <c r="E30" s="15"/>
      <c r="F30" s="15"/>
      <c r="G30" s="15"/>
      <c r="H30" s="15"/>
      <c r="I30" s="15"/>
      <c r="J30" s="15"/>
      <c r="K30" s="15"/>
      <c r="L30" s="15"/>
      <c r="M30" s="15"/>
      <c r="N30" s="15"/>
    </row>
    <row r="31" spans="1:25">
      <c r="A31" s="16" t="s">
        <v>94</v>
      </c>
    </row>
    <row r="32" spans="1:25" s="15" customFormat="1">
      <c r="A32" s="16"/>
    </row>
    <row r="33" spans="1:20" s="15" customFormat="1">
      <c r="A33" s="17" t="s">
        <v>95</v>
      </c>
      <c r="B33" s="15">
        <f ca="1">IFERROR(_xlfn.BINOM.INV('Therapy Impact Modeling Tool'!B47,B12/'Therapy Impact Modeling Tool'!B47,0.95),0)</f>
        <v>1</v>
      </c>
    </row>
    <row r="34" spans="1:20">
      <c r="C34" s="3" t="s">
        <v>66</v>
      </c>
      <c r="D34" s="3" t="s">
        <v>67</v>
      </c>
      <c r="E34" s="3" t="s">
        <v>68</v>
      </c>
      <c r="F34" s="3" t="s">
        <v>69</v>
      </c>
      <c r="G34" s="3" t="s">
        <v>70</v>
      </c>
      <c r="H34" s="3" t="s">
        <v>71</v>
      </c>
      <c r="I34" s="3" t="s">
        <v>72</v>
      </c>
      <c r="J34" s="3" t="s">
        <v>73</v>
      </c>
      <c r="K34" s="3" t="s">
        <v>74</v>
      </c>
      <c r="L34" s="3" t="s">
        <v>75</v>
      </c>
    </row>
    <row r="35" spans="1:20">
      <c r="A35" s="63" t="s">
        <v>82</v>
      </c>
      <c r="C35" s="121">
        <f ca="1">IFERROR(ROUND(_xlfn.BINOM.INV('Therapy Impact Modeling Tool'!$B$47,$B$13/'Therapy Impact Modeling Tool'!$B$47,0.95),0),0)</f>
        <v>0</v>
      </c>
      <c r="D35" s="84">
        <f ca="1">ROUND((C35+C37-C39)*$C$7,0)</f>
        <v>0</v>
      </c>
      <c r="E35" s="84">
        <f t="shared" ref="E35:L35" ca="1" si="9">ROUND((D35+D37-D39)*$C$7,0)</f>
        <v>0</v>
      </c>
      <c r="F35" s="84">
        <f t="shared" ca="1" si="9"/>
        <v>0</v>
      </c>
      <c r="G35" s="84">
        <f t="shared" ca="1" si="9"/>
        <v>0</v>
      </c>
      <c r="H35" s="84">
        <f t="shared" ca="1" si="9"/>
        <v>0</v>
      </c>
      <c r="I35" s="84">
        <f t="shared" ca="1" si="9"/>
        <v>0</v>
      </c>
      <c r="J35" s="84">
        <f t="shared" ca="1" si="9"/>
        <v>0</v>
      </c>
      <c r="K35" s="84">
        <f t="shared" ca="1" si="9"/>
        <v>0</v>
      </c>
      <c r="L35" s="84">
        <f t="shared" ca="1" si="9"/>
        <v>0</v>
      </c>
    </row>
    <row r="36" spans="1:20" s="63" customFormat="1">
      <c r="A36" s="63" t="s">
        <v>1555</v>
      </c>
      <c r="C36" s="121">
        <f ca="1">ROUND(C$35*C$5,0)</f>
        <v>0</v>
      </c>
      <c r="D36" s="24">
        <f t="shared" ref="D36:L36" ca="1" si="10">ROUND(D$35*D$5,0)</f>
        <v>0</v>
      </c>
      <c r="E36" s="24">
        <f t="shared" ca="1" si="10"/>
        <v>0</v>
      </c>
      <c r="F36" s="24">
        <f t="shared" ca="1" si="10"/>
        <v>0</v>
      </c>
      <c r="G36" s="24">
        <f t="shared" ca="1" si="10"/>
        <v>0</v>
      </c>
      <c r="H36" s="24">
        <f t="shared" ca="1" si="10"/>
        <v>0</v>
      </c>
      <c r="I36" s="24">
        <f t="shared" ca="1" si="10"/>
        <v>0</v>
      </c>
      <c r="J36" s="24">
        <f t="shared" ca="1" si="10"/>
        <v>0</v>
      </c>
      <c r="K36" s="24">
        <f t="shared" ca="1" si="10"/>
        <v>0</v>
      </c>
      <c r="L36" s="24">
        <f t="shared" ca="1" si="10"/>
        <v>0</v>
      </c>
    </row>
    <row r="37" spans="1:20" s="63" customFormat="1">
      <c r="A37" s="63" t="s">
        <v>1556</v>
      </c>
      <c r="C37" s="84">
        <f ca="1">IFERROR(ROUND(_xlfn.BINOM.INV('Therapy Impact Modeling Tool'!$B$47,$B$12/'Therapy Impact Modeling Tool'!$B$47,0.95),0),0)</f>
        <v>1</v>
      </c>
      <c r="D37" s="84">
        <f ca="1">IFERROR(ROUND(_xlfn.BINOM.INV('Therapy Impact Modeling Tool'!$B$47,$B$12/'Therapy Impact Modeling Tool'!$B$47,0.95),0),0)</f>
        <v>1</v>
      </c>
      <c r="E37" s="84">
        <f ca="1">IFERROR(ROUND(_xlfn.BINOM.INV('Therapy Impact Modeling Tool'!$B$47,$B$12/'Therapy Impact Modeling Tool'!$B$47,0.95),0),0)</f>
        <v>1</v>
      </c>
      <c r="F37" s="84">
        <f ca="1">IFERROR(ROUND(_xlfn.BINOM.INV('Therapy Impact Modeling Tool'!$B$47,$B$12/'Therapy Impact Modeling Tool'!$B$47,0.95),0),0)</f>
        <v>1</v>
      </c>
      <c r="G37" s="84">
        <f ca="1">IFERROR(ROUND(_xlfn.BINOM.INV('Therapy Impact Modeling Tool'!$B$47,$B$12/'Therapy Impact Modeling Tool'!$B$47,0.95),0),0)</f>
        <v>1</v>
      </c>
      <c r="H37" s="84">
        <f ca="1">IFERROR(ROUND(_xlfn.BINOM.INV('Therapy Impact Modeling Tool'!$B$47,$B$12/'Therapy Impact Modeling Tool'!$B$47,0.95),0),0)</f>
        <v>1</v>
      </c>
      <c r="I37" s="84">
        <f ca="1">IFERROR(ROUND(_xlfn.BINOM.INV('Therapy Impact Modeling Tool'!$B$47,$B$12/'Therapy Impact Modeling Tool'!$B$47,0.95),0),0)</f>
        <v>1</v>
      </c>
      <c r="J37" s="84">
        <f ca="1">IFERROR(ROUND(_xlfn.BINOM.INV('Therapy Impact Modeling Tool'!$B$47,$B$12/'Therapy Impact Modeling Tool'!$B$47,0.95),0),0)</f>
        <v>1</v>
      </c>
      <c r="K37" s="84">
        <f ca="1">IFERROR(ROUND(_xlfn.BINOM.INV('Therapy Impact Modeling Tool'!$B$47,$B$12/'Therapy Impact Modeling Tool'!$B$47,0.95),0),0)</f>
        <v>1</v>
      </c>
      <c r="L37" s="84">
        <f ca="1">IFERROR(ROUND(_xlfn.BINOM.INV('Therapy Impact Modeling Tool'!$B$47,$B$12/'Therapy Impact Modeling Tool'!$B$47,0.95),0),0)</f>
        <v>1</v>
      </c>
    </row>
    <row r="38" spans="1:20" s="63" customFormat="1">
      <c r="A38" s="63" t="s">
        <v>1557</v>
      </c>
      <c r="C38" s="84">
        <f ca="1">ROUND(C$37*C$4,0)</f>
        <v>1</v>
      </c>
      <c r="D38" s="84">
        <f t="shared" ref="D38:L38" ca="1" si="11">ROUND(D$37*D$4,0)</f>
        <v>1</v>
      </c>
      <c r="E38" s="84">
        <f t="shared" ca="1" si="11"/>
        <v>1</v>
      </c>
      <c r="F38" s="84">
        <f t="shared" ca="1" si="11"/>
        <v>1</v>
      </c>
      <c r="G38" s="84">
        <f t="shared" ca="1" si="11"/>
        <v>1</v>
      </c>
      <c r="H38" s="84">
        <f t="shared" ca="1" si="11"/>
        <v>1</v>
      </c>
      <c r="I38" s="84">
        <f t="shared" ca="1" si="11"/>
        <v>1</v>
      </c>
      <c r="J38" s="84">
        <f t="shared" ca="1" si="11"/>
        <v>1</v>
      </c>
      <c r="K38" s="84">
        <f t="shared" ca="1" si="11"/>
        <v>1</v>
      </c>
      <c r="L38" s="84">
        <f t="shared" ca="1" si="11"/>
        <v>1</v>
      </c>
    </row>
    <row r="39" spans="1:20">
      <c r="A39" s="63" t="s">
        <v>1558</v>
      </c>
      <c r="C39" s="84">
        <f ca="1">C36+C38</f>
        <v>1</v>
      </c>
      <c r="D39" s="84">
        <f t="shared" ref="D39:L39" ca="1" si="12">D36+D38</f>
        <v>1</v>
      </c>
      <c r="E39" s="84">
        <f t="shared" ca="1" si="12"/>
        <v>1</v>
      </c>
      <c r="F39" s="84">
        <f t="shared" ca="1" si="12"/>
        <v>1</v>
      </c>
      <c r="G39" s="84">
        <f t="shared" ca="1" si="12"/>
        <v>1</v>
      </c>
      <c r="H39" s="84">
        <f t="shared" ca="1" si="12"/>
        <v>1</v>
      </c>
      <c r="I39" s="84">
        <f t="shared" ca="1" si="12"/>
        <v>1</v>
      </c>
      <c r="J39" s="84">
        <f t="shared" ca="1" si="12"/>
        <v>1</v>
      </c>
      <c r="K39" s="84">
        <f t="shared" ca="1" si="12"/>
        <v>1</v>
      </c>
      <c r="L39" s="84">
        <f t="shared" ca="1" si="12"/>
        <v>1</v>
      </c>
    </row>
    <row r="40" spans="1:20">
      <c r="N40" s="15"/>
      <c r="O40" s="15"/>
      <c r="P40" s="15"/>
      <c r="Q40" s="15"/>
      <c r="R40" s="15"/>
      <c r="S40" s="15"/>
      <c r="T40" s="15"/>
    </row>
  </sheetData>
  <pageMargins left="0.7" right="0.7" top="0.75" bottom="0.75" header="0.3" footer="0.3"/>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Q100"/>
  <sheetViews>
    <sheetView workbookViewId="0"/>
  </sheetViews>
  <sheetFormatPr baseColWidth="10" defaultColWidth="8.83203125" defaultRowHeight="15"/>
  <cols>
    <col min="1" max="1" width="2.5" style="15" customWidth="1"/>
    <col min="2" max="2" width="28.5" style="15" customWidth="1"/>
    <col min="3" max="3" width="2.5" style="15" customWidth="1"/>
    <col min="4" max="7" width="8.83203125" style="15"/>
    <col min="8" max="8" width="2.5" style="15" customWidth="1"/>
    <col min="9" max="9" width="8.83203125" style="15"/>
    <col min="10" max="10" width="10.5" style="15" customWidth="1"/>
    <col min="11" max="14" width="8.83203125" style="15"/>
    <col min="15" max="15" width="2.5" style="15" customWidth="1"/>
    <col min="16" max="17" width="8.83203125" style="455"/>
    <col min="18" max="16384" width="8.83203125" style="15"/>
  </cols>
  <sheetData>
    <row r="1" spans="2:17">
      <c r="B1" s="42" t="s">
        <v>298</v>
      </c>
      <c r="D1" s="43" t="s">
        <v>299</v>
      </c>
      <c r="E1" s="44"/>
      <c r="F1" s="45"/>
      <c r="I1" s="43" t="s">
        <v>299</v>
      </c>
      <c r="J1" s="44"/>
      <c r="K1" s="45"/>
    </row>
    <row r="2" spans="2:17">
      <c r="B2" s="46" t="s">
        <v>300</v>
      </c>
      <c r="D2" s="47" t="s">
        <v>1604</v>
      </c>
      <c r="E2" s="20"/>
      <c r="F2" s="48"/>
      <c r="I2" s="47" t="s">
        <v>301</v>
      </c>
      <c r="J2" s="20"/>
      <c r="K2" s="48"/>
      <c r="L2" s="63"/>
      <c r="M2" s="63"/>
      <c r="P2" s="455" t="s">
        <v>2227</v>
      </c>
      <c r="Q2" s="455">
        <v>1</v>
      </c>
    </row>
    <row r="3" spans="2:17">
      <c r="B3" s="49" t="s">
        <v>302</v>
      </c>
      <c r="P3" s="455" t="s">
        <v>2228</v>
      </c>
      <c r="Q3" s="455">
        <v>2</v>
      </c>
    </row>
    <row r="4" spans="2:17">
      <c r="B4" s="15" t="s">
        <v>303</v>
      </c>
      <c r="D4" s="50" t="s">
        <v>304</v>
      </c>
      <c r="I4" s="15" t="s">
        <v>318</v>
      </c>
      <c r="K4" s="15">
        <f>MATCH('Population Estimator Tool'!B19,'Therapeutic Classes - Diseases'!B4:B13,0)</f>
        <v>1</v>
      </c>
      <c r="P4" s="455" t="s">
        <v>2229</v>
      </c>
      <c r="Q4" s="455">
        <v>3</v>
      </c>
    </row>
    <row r="5" spans="2:17">
      <c r="B5" s="15" t="str">
        <f ca="1">IF(ROW(Calculation!B5)-5&gt;Calculation!$D$11-Calculation!$D$10,"",INDIRECT(Calculation!$D$6&amp;"E"&amp;Calculation!$D$10+ROW(Calculation!B5)-5))</f>
        <v>BCMA</v>
      </c>
      <c r="D5" s="7"/>
      <c r="P5" s="455" t="s">
        <v>1587</v>
      </c>
      <c r="Q5" s="455">
        <v>4</v>
      </c>
    </row>
    <row r="6" spans="2:17">
      <c r="B6" s="63" t="str">
        <f ca="1">IF(ROW(Calculation!B6)-5&gt;Calculation!$D$11-Calculation!$D$10,"",INDIRECT(Calculation!$D$6&amp;"E"&amp;Calculation!$D$10+ROW(Calculation!B6)-5))</f>
        <v>CD10</v>
      </c>
      <c r="D6" s="50" t="s">
        <v>305</v>
      </c>
      <c r="I6" s="15" t="s">
        <v>1599</v>
      </c>
      <c r="K6" s="120" t="str">
        <f>INDEX(P:P,MATCH(MATCH('Population Estimator Tool'!B19,'Therapeutic Classes - Diseases'!2:2,0),Q:Q,0),1)</f>
        <v>D</v>
      </c>
      <c r="P6" s="455" t="s">
        <v>1588</v>
      </c>
      <c r="Q6" s="455">
        <v>5</v>
      </c>
    </row>
    <row r="7" spans="2:17">
      <c r="B7" s="63" t="str">
        <f ca="1">IF(ROW(Calculation!B7)-5&gt;Calculation!$D$11-Calculation!$D$10,"",INDIRECT(Calculation!$D$6&amp;"E"&amp;Calculation!$D$10+ROW(Calculation!B7)-5))</f>
        <v>CD123</v>
      </c>
      <c r="I7" s="15" t="s">
        <v>1600</v>
      </c>
      <c r="K7" s="120" t="str">
        <f>K6&amp;3</f>
        <v>D3</v>
      </c>
      <c r="P7" s="455" t="s">
        <v>1589</v>
      </c>
      <c r="Q7" s="455">
        <v>6</v>
      </c>
    </row>
    <row r="8" spans="2:17">
      <c r="B8" s="63" t="str">
        <f ca="1">IF(ROW(Calculation!B8)-5&gt;Calculation!$D$11-Calculation!$D$10,"",INDIRECT(Calculation!$D$6&amp;"E"&amp;Calculation!$D$10+ROW(Calculation!B8)-5))</f>
        <v>CD19</v>
      </c>
      <c r="D8" s="50" t="s">
        <v>306</v>
      </c>
      <c r="I8" s="15" t="s">
        <v>1598</v>
      </c>
      <c r="K8" s="120">
        <f ca="1">INDIRECT(D4&amp;K6&amp;1)</f>
        <v>20</v>
      </c>
      <c r="P8" s="455" t="s">
        <v>1590</v>
      </c>
      <c r="Q8" s="455">
        <v>7</v>
      </c>
    </row>
    <row r="9" spans="2:17">
      <c r="B9" s="63" t="str">
        <f ca="1">IF(ROW(Calculation!B9)-5&gt;Calculation!$D$11-Calculation!$D$10,"",INDIRECT(Calculation!$D$6&amp;"E"&amp;Calculation!$D$10+ROW(Calculation!B9)-5))</f>
        <v>CD19+BCMA</v>
      </c>
      <c r="I9" s="15" t="s">
        <v>1601</v>
      </c>
      <c r="K9" s="120" t="str">
        <f ca="1">K6&amp;K8</f>
        <v>D20</v>
      </c>
      <c r="N9" s="63"/>
      <c r="P9" s="455" t="s">
        <v>1591</v>
      </c>
      <c r="Q9" s="455">
        <v>8</v>
      </c>
    </row>
    <row r="10" spans="2:17">
      <c r="B10" s="63" t="str">
        <f ca="1">IF(ROW(Calculation!B10)-5&gt;Calculation!$D$11-Calculation!$D$10,"",INDIRECT(Calculation!$D$6&amp;"E"&amp;Calculation!$D$10+ROW(Calculation!B10)-5))</f>
        <v>CD19 CD20</v>
      </c>
      <c r="D10" s="7">
        <f>MATCH('Population Estimator Tool'!C19,'Disease - complete'!B:B,0)</f>
        <v>118</v>
      </c>
      <c r="E10" s="15" t="s">
        <v>1605</v>
      </c>
      <c r="I10" s="63" t="s">
        <v>1602</v>
      </c>
      <c r="J10" s="63"/>
      <c r="K10" s="120" t="str">
        <f ca="1">K7&amp;":"&amp;K9</f>
        <v>D3:D20</v>
      </c>
      <c r="L10" s="63"/>
      <c r="M10" s="63"/>
      <c r="P10" s="455" t="s">
        <v>1592</v>
      </c>
      <c r="Q10" s="455">
        <v>9</v>
      </c>
    </row>
    <row r="11" spans="2:17">
      <c r="B11" s="63" t="str">
        <f ca="1">IF(ROW(Calculation!B11)-5&gt;Calculation!$D$11-Calculation!$D$10,"",INDIRECT(Calculation!$D$6&amp;"E"&amp;Calculation!$D$10+ROW(Calculation!B11)-5))</f>
        <v>CD19+CD20</v>
      </c>
      <c r="D11" s="7">
        <f ca="1">INDIRECT(D6&amp;"A"&amp;D10)</f>
        <v>137</v>
      </c>
      <c r="E11" s="15" t="s">
        <v>1606</v>
      </c>
      <c r="I11" s="63" t="s">
        <v>1597</v>
      </c>
      <c r="J11" s="63"/>
      <c r="K11" s="63" t="str">
        <f ca="1">D4&amp;K10</f>
        <v>'Therapeutic Classes - Diseases'!D3:D20</v>
      </c>
      <c r="L11" s="63"/>
      <c r="M11" s="63"/>
      <c r="N11" s="63"/>
      <c r="P11" s="455" t="s">
        <v>1593</v>
      </c>
      <c r="Q11" s="455">
        <v>10</v>
      </c>
    </row>
    <row r="12" spans="2:17">
      <c r="B12" s="63" t="str">
        <f ca="1">IF(ROW(Calculation!B12)-5&gt;Calculation!$D$11-Calculation!$D$10,"",INDIRECT(Calculation!$D$6&amp;"E"&amp;Calculation!$D$10+ROW(Calculation!B12)-5))</f>
        <v>CD19 CD20 CD22</v>
      </c>
      <c r="D12" s="7">
        <f ca="1">D11-D10+1</f>
        <v>20</v>
      </c>
      <c r="E12" s="15" t="s">
        <v>1607</v>
      </c>
      <c r="P12" s="455" t="s">
        <v>1594</v>
      </c>
      <c r="Q12" s="455">
        <v>11</v>
      </c>
    </row>
    <row r="13" spans="2:17">
      <c r="B13" s="63" t="str">
        <f ca="1">IF(ROW(Calculation!B13)-5&gt;Calculation!$D$11-Calculation!$D$10,"",INDIRECT(Calculation!$D$6&amp;"E"&amp;Calculation!$D$10+ROW(Calculation!B13)-5))</f>
        <v>CD19+CD22</v>
      </c>
      <c r="D13" s="7">
        <f ca="1">D10+MATCH('Population Estimator Tool'!E19,Calculation!B:B,0)-5</f>
        <v>121</v>
      </c>
      <c r="E13" s="15" t="s">
        <v>1518</v>
      </c>
      <c r="F13" s="310">
        <f ca="1">D13-D10+5</f>
        <v>8</v>
      </c>
      <c r="I13" s="15" t="s">
        <v>319</v>
      </c>
      <c r="K13" s="120">
        <f ca="1">97-COUNTIF(B4:B100,"")</f>
        <v>21</v>
      </c>
      <c r="P13" s="455" t="s">
        <v>1595</v>
      </c>
      <c r="Q13" s="455">
        <v>12</v>
      </c>
    </row>
    <row r="14" spans="2:17">
      <c r="B14" s="63" t="str">
        <f ca="1">IF(ROW(Calculation!B14)-5&gt;Calculation!$D$11-Calculation!$D$10,"",INDIRECT(Calculation!$D$6&amp;"E"&amp;Calculation!$D$10+ROW(Calculation!B14)-5))</f>
        <v>CD19 CD22</v>
      </c>
      <c r="I14" s="63" t="s">
        <v>1603</v>
      </c>
      <c r="J14" s="63"/>
      <c r="K14" s="120" t="str">
        <f ca="1">"b4:b"&amp;K13+3</f>
        <v>b4:b24</v>
      </c>
      <c r="L14" s="63"/>
      <c r="P14" s="455" t="s">
        <v>1596</v>
      </c>
      <c r="Q14" s="455">
        <v>13</v>
      </c>
    </row>
    <row r="15" spans="2:17">
      <c r="B15" s="63" t="str">
        <f ca="1">IF(ROW(Calculation!B15)-5&gt;Calculation!$D$11-Calculation!$D$10,"",INDIRECT(Calculation!$D$6&amp;"E"&amp;Calculation!$D$10+ROW(Calculation!B15)-5))</f>
        <v>CD20</v>
      </c>
      <c r="I15" s="15" t="s">
        <v>320</v>
      </c>
      <c r="K15" s="15" t="str">
        <f ca="1">D8&amp;K14</f>
        <v>'Calculation'!b4:b24</v>
      </c>
      <c r="P15" s="455" t="s">
        <v>6</v>
      </c>
      <c r="Q15" s="455">
        <v>14</v>
      </c>
    </row>
    <row r="16" spans="2:17">
      <c r="B16" s="63" t="str">
        <f ca="1">IF(ROW(Calculation!B16)-5&gt;Calculation!$D$11-Calculation!$D$10,"",INDIRECT(Calculation!$D$6&amp;"E"&amp;Calculation!$D$10+ROW(Calculation!B16)-5))</f>
        <v>CD20 CD22 CD10</v>
      </c>
      <c r="P16" s="455" t="s">
        <v>2230</v>
      </c>
      <c r="Q16" s="455">
        <v>15</v>
      </c>
    </row>
    <row r="17" spans="2:17">
      <c r="B17" s="63" t="str">
        <f ca="1">IF(ROW(Calculation!B17)-5&gt;Calculation!$D$11-Calculation!$D$10,"",INDIRECT(Calculation!$D$6&amp;"E"&amp;Calculation!$D$10+ROW(Calculation!B17)-5))</f>
        <v>CD22</v>
      </c>
      <c r="P17" s="455" t="s">
        <v>2231</v>
      </c>
      <c r="Q17" s="455">
        <v>16</v>
      </c>
    </row>
    <row r="18" spans="2:17">
      <c r="B18" s="63" t="str">
        <f ca="1">IF(ROW(Calculation!B18)-5&gt;Calculation!$D$11-Calculation!$D$10,"",INDIRECT(Calculation!$D$6&amp;"E"&amp;Calculation!$D$10+ROW(Calculation!B18)-5))</f>
        <v>CD22+CD10+CD20+CD38+CD123</v>
      </c>
      <c r="P18" s="455" t="s">
        <v>2232</v>
      </c>
      <c r="Q18" s="455">
        <v>17</v>
      </c>
    </row>
    <row r="19" spans="2:17">
      <c r="B19" s="63" t="str">
        <f ca="1">IF(ROW(Calculation!B19)-5&gt;Calculation!$D$11-Calculation!$D$10,"",INDIRECT(Calculation!$D$6&amp;"E"&amp;Calculation!$D$10+ROW(Calculation!B19)-5))</f>
        <v>CD38 BCMA</v>
      </c>
      <c r="P19" s="455" t="s">
        <v>2233</v>
      </c>
      <c r="Q19" s="455">
        <v>18</v>
      </c>
    </row>
    <row r="20" spans="2:17">
      <c r="B20" s="63" t="str">
        <f ca="1">IF(ROW(Calculation!B20)-5&gt;Calculation!$D$11-Calculation!$D$10,"",INDIRECT(Calculation!$D$6&amp;"E"&amp;Calculation!$D$10+ROW(Calculation!B20)-5))</f>
        <v>GOC22F</v>
      </c>
    </row>
    <row r="21" spans="2:17">
      <c r="B21" s="63" t="str">
        <f ca="1">IF(ROW(Calculation!B21)-5&gt;Calculation!$D$11-Calculation!$D$10,"",INDIRECT(Calculation!$D$6&amp;"E"&amp;Calculation!$D$10+ROW(Calculation!B21)-5))</f>
        <v>HA-1</v>
      </c>
    </row>
    <row r="22" spans="2:17">
      <c r="B22" s="63" t="str">
        <f ca="1">IF(ROW(Calculation!B22)-5&gt;Calculation!$D$11-Calculation!$D$10,"",INDIRECT(Calculation!$D$6&amp;"E"&amp;Calculation!$D$10+ROW(Calculation!B22)-5))</f>
        <v>PRAME</v>
      </c>
    </row>
    <row r="23" spans="2:17">
      <c r="B23" s="63" t="str">
        <f ca="1">IF(ROW(Calculation!B23)-5&gt;Calculation!$D$11-Calculation!$D$10,"",INDIRECT(Calculation!$D$6&amp;"E"&amp;Calculation!$D$10+ROW(Calculation!B23)-5))</f>
        <v>Survivin</v>
      </c>
    </row>
    <row r="24" spans="2:17">
      <c r="B24" s="63" t="str">
        <f ca="1">IF(ROW(Calculation!B24)-5&gt;Calculation!$D$11-Calculation!$D$10,"",INDIRECT(Calculation!$D$6&amp;"E"&amp;Calculation!$D$10+ROW(Calculation!B24)-5))</f>
        <v>WT-1</v>
      </c>
    </row>
    <row r="25" spans="2:17">
      <c r="B25" s="63" t="str">
        <f ca="1">IF(ROW(Calculation!B25)-5&gt;Calculation!$D$11-Calculation!$D$10,"",INDIRECT(Calculation!$D$6&amp;"E"&amp;Calculation!$D$10+ROW(Calculation!B25)-5))</f>
        <v/>
      </c>
    </row>
    <row r="26" spans="2:17">
      <c r="B26" s="63" t="str">
        <f ca="1">IF(ROW(Calculation!B26)-5&gt;Calculation!$D$11-Calculation!$D$10,"",INDIRECT(Calculation!$D$6&amp;"E"&amp;Calculation!$D$10+ROW(Calculation!B26)-5))</f>
        <v/>
      </c>
    </row>
    <row r="27" spans="2:17">
      <c r="B27" s="63" t="str">
        <f ca="1">IF(ROW(Calculation!B27)-5&gt;Calculation!$D$11-Calculation!$D$10,"",INDIRECT(Calculation!$D$6&amp;"E"&amp;Calculation!$D$10+ROW(Calculation!B27)-5))</f>
        <v/>
      </c>
    </row>
    <row r="28" spans="2:17">
      <c r="B28" s="63" t="str">
        <f ca="1">IF(ROW(Calculation!B28)-5&gt;Calculation!$D$11-Calculation!$D$10,"",INDIRECT(Calculation!$D$6&amp;"E"&amp;Calculation!$D$10+ROW(Calculation!B28)-5))</f>
        <v/>
      </c>
    </row>
    <row r="29" spans="2:17">
      <c r="B29" s="63" t="str">
        <f ca="1">IF(ROW(Calculation!B29)-5&gt;Calculation!$D$11-Calculation!$D$10,"",INDIRECT(Calculation!$D$6&amp;"E"&amp;Calculation!$D$10+ROW(Calculation!B29)-5))</f>
        <v/>
      </c>
    </row>
    <row r="30" spans="2:17">
      <c r="B30" s="63" t="str">
        <f ca="1">IF(ROW(Calculation!B30)-5&gt;Calculation!$D$11-Calculation!$D$10,"",INDIRECT(Calculation!$D$6&amp;"E"&amp;Calculation!$D$10+ROW(Calculation!B30)-5))</f>
        <v/>
      </c>
    </row>
    <row r="31" spans="2:17">
      <c r="B31" s="63" t="str">
        <f ca="1">IF(ROW(Calculation!B31)-5&gt;Calculation!$D$11-Calculation!$D$10,"",INDIRECT(Calculation!$D$6&amp;"E"&amp;Calculation!$D$10+ROW(Calculation!B31)-5))</f>
        <v/>
      </c>
    </row>
    <row r="32" spans="2:17">
      <c r="B32" s="63" t="str">
        <f ca="1">IF(ROW(Calculation!B32)-5&gt;Calculation!$D$11-Calculation!$D$10,"",INDIRECT(Calculation!$D$6&amp;"E"&amp;Calculation!$D$10+ROW(Calculation!B32)-5))</f>
        <v/>
      </c>
    </row>
    <row r="33" spans="2:2">
      <c r="B33" s="63" t="str">
        <f ca="1">IF(ROW(Calculation!B33)-5&gt;Calculation!$D$11-Calculation!$D$10,"",INDIRECT(Calculation!$D$6&amp;"E"&amp;Calculation!$D$10+ROW(Calculation!B33)-5))</f>
        <v/>
      </c>
    </row>
    <row r="34" spans="2:2">
      <c r="B34" s="63" t="str">
        <f ca="1">IF(ROW(Calculation!B34)-5&gt;Calculation!$D$11-Calculation!$D$10,"",INDIRECT(Calculation!$D$6&amp;"E"&amp;Calculation!$D$10+ROW(Calculation!B34)-5))</f>
        <v/>
      </c>
    </row>
    <row r="35" spans="2:2">
      <c r="B35" s="63" t="str">
        <f ca="1">IF(ROW(Calculation!B35)-5&gt;Calculation!$D$11-Calculation!$D$10,"",INDIRECT(Calculation!$D$6&amp;"E"&amp;Calculation!$D$10+ROW(Calculation!B35)-5))</f>
        <v/>
      </c>
    </row>
    <row r="36" spans="2:2">
      <c r="B36" s="63" t="str">
        <f ca="1">IF(ROW(Calculation!B36)-5&gt;Calculation!$D$11-Calculation!$D$10,"",INDIRECT(Calculation!$D$6&amp;"E"&amp;Calculation!$D$10+ROW(Calculation!B36)-5))</f>
        <v/>
      </c>
    </row>
    <row r="37" spans="2:2">
      <c r="B37" s="63" t="str">
        <f ca="1">IF(ROW(Calculation!B37)-5&gt;Calculation!$D$11-Calculation!$D$10,"",INDIRECT(Calculation!$D$6&amp;"E"&amp;Calculation!$D$10+ROW(Calculation!B37)-5))</f>
        <v/>
      </c>
    </row>
    <row r="38" spans="2:2">
      <c r="B38" s="63" t="str">
        <f ca="1">IF(ROW(Calculation!B38)-5&gt;Calculation!$D$11-Calculation!$D$10,"",INDIRECT(Calculation!$D$6&amp;"E"&amp;Calculation!$D$10+ROW(Calculation!B38)-5))</f>
        <v/>
      </c>
    </row>
    <row r="39" spans="2:2">
      <c r="B39" s="63" t="str">
        <f ca="1">IF(ROW(Calculation!B39)-5&gt;Calculation!$D$11-Calculation!$D$10,"",INDIRECT(Calculation!$D$6&amp;"E"&amp;Calculation!$D$10+ROW(Calculation!B39)-5))</f>
        <v/>
      </c>
    </row>
    <row r="40" spans="2:2">
      <c r="B40" s="63" t="str">
        <f ca="1">IF(ROW(Calculation!B40)-5&gt;Calculation!$D$11-Calculation!$D$10,"",INDIRECT(Calculation!$D$6&amp;"E"&amp;Calculation!$D$10+ROW(Calculation!B40)-5))</f>
        <v/>
      </c>
    </row>
    <row r="41" spans="2:2">
      <c r="B41" s="63" t="str">
        <f ca="1">IF(ROW(Calculation!B41)-5&gt;Calculation!$D$11-Calculation!$D$10,"",INDIRECT(Calculation!$D$6&amp;"E"&amp;Calculation!$D$10+ROW(Calculation!B41)-5))</f>
        <v/>
      </c>
    </row>
    <row r="42" spans="2:2">
      <c r="B42" s="63" t="str">
        <f ca="1">IF(ROW(Calculation!B42)-5&gt;Calculation!$D$11-Calculation!$D$10,"",INDIRECT(Calculation!$D$6&amp;"E"&amp;Calculation!$D$10+ROW(Calculation!B42)-5))</f>
        <v/>
      </c>
    </row>
    <row r="43" spans="2:2">
      <c r="B43" s="63" t="str">
        <f ca="1">IF(ROW(Calculation!B43)-5&gt;Calculation!$D$11-Calculation!$D$10,"",INDIRECT(Calculation!$D$6&amp;"E"&amp;Calculation!$D$10+ROW(Calculation!B43)-5))</f>
        <v/>
      </c>
    </row>
    <row r="44" spans="2:2">
      <c r="B44" s="63" t="str">
        <f ca="1">IF(ROW(Calculation!B44)-5&gt;Calculation!$D$11-Calculation!$D$10,"",INDIRECT(Calculation!$D$6&amp;"E"&amp;Calculation!$D$10+ROW(Calculation!B44)-5))</f>
        <v/>
      </c>
    </row>
    <row r="45" spans="2:2">
      <c r="B45" s="63" t="str">
        <f ca="1">IF(ROW(Calculation!B45)-5&gt;Calculation!$D$11-Calculation!$D$10,"",INDIRECT(Calculation!$D$6&amp;"E"&amp;Calculation!$D$10+ROW(Calculation!B45)-5))</f>
        <v/>
      </c>
    </row>
    <row r="46" spans="2:2">
      <c r="B46" s="63" t="str">
        <f ca="1">IF(ROW(Calculation!B46)-5&gt;Calculation!$D$11-Calculation!$D$10,"",INDIRECT(Calculation!$D$6&amp;"E"&amp;Calculation!$D$10+ROW(Calculation!B46)-5))</f>
        <v/>
      </c>
    </row>
    <row r="47" spans="2:2">
      <c r="B47" s="63" t="str">
        <f ca="1">IF(ROW(Calculation!B47)-5&gt;Calculation!$D$11-Calculation!$D$10,"",INDIRECT(Calculation!$D$6&amp;"E"&amp;Calculation!$D$10+ROW(Calculation!B47)-5))</f>
        <v/>
      </c>
    </row>
    <row r="48" spans="2:2">
      <c r="B48" s="63" t="str">
        <f ca="1">IF(ROW(Calculation!B48)-5&gt;Calculation!$D$11-Calculation!$D$10,"",INDIRECT(Calculation!$D$6&amp;"E"&amp;Calculation!$D$10+ROW(Calculation!B48)-5))</f>
        <v/>
      </c>
    </row>
    <row r="49" spans="2:2">
      <c r="B49" s="63" t="str">
        <f ca="1">IF(ROW(Calculation!B49)-5&gt;Calculation!$D$11-Calculation!$D$10,"",INDIRECT(Calculation!$D$6&amp;"E"&amp;Calculation!$D$10+ROW(Calculation!B49)-5))</f>
        <v/>
      </c>
    </row>
    <row r="50" spans="2:2">
      <c r="B50" s="63" t="str">
        <f ca="1">IF(ROW(Calculation!B50)-5&gt;Calculation!$D$11-Calculation!$D$10,"",INDIRECT(Calculation!$D$6&amp;"E"&amp;Calculation!$D$10+ROW(Calculation!B50)-5))</f>
        <v/>
      </c>
    </row>
    <row r="51" spans="2:2">
      <c r="B51" s="63" t="str">
        <f ca="1">IF(ROW(Calculation!B51)-5&gt;Calculation!$D$11-Calculation!$D$10,"",INDIRECT(Calculation!$D$6&amp;"E"&amp;Calculation!$D$10+ROW(Calculation!B51)-5))</f>
        <v/>
      </c>
    </row>
    <row r="52" spans="2:2">
      <c r="B52" s="63" t="str">
        <f ca="1">IF(ROW(Calculation!B52)-5&gt;Calculation!$D$11-Calculation!$D$10,"",INDIRECT(Calculation!$D$6&amp;"E"&amp;Calculation!$D$10+ROW(Calculation!B52)-5))</f>
        <v/>
      </c>
    </row>
    <row r="53" spans="2:2">
      <c r="B53" s="63" t="str">
        <f ca="1">IF(ROW(Calculation!B53)-5&gt;Calculation!$D$11-Calculation!$D$10,"",INDIRECT(Calculation!$D$6&amp;"E"&amp;Calculation!$D$10+ROW(Calculation!B53)-5))</f>
        <v/>
      </c>
    </row>
    <row r="54" spans="2:2">
      <c r="B54" s="63" t="str">
        <f ca="1">IF(ROW(Calculation!B54)-5&gt;Calculation!$D$11-Calculation!$D$10,"",INDIRECT(Calculation!$D$6&amp;"E"&amp;Calculation!$D$10+ROW(Calculation!B54)-5))</f>
        <v/>
      </c>
    </row>
    <row r="55" spans="2:2">
      <c r="B55" s="63" t="str">
        <f ca="1">IF(ROW(Calculation!B55)-5&gt;Calculation!$D$11-Calculation!$D$10,"",INDIRECT(Calculation!$D$6&amp;"E"&amp;Calculation!$D$10+ROW(Calculation!B55)-5))</f>
        <v/>
      </c>
    </row>
    <row r="56" spans="2:2">
      <c r="B56" s="63" t="str">
        <f ca="1">IF(ROW(Calculation!B56)-5&gt;Calculation!$D$11-Calculation!$D$10,"",INDIRECT(Calculation!$D$6&amp;"E"&amp;Calculation!$D$10+ROW(Calculation!B56)-5))</f>
        <v/>
      </c>
    </row>
    <row r="57" spans="2:2">
      <c r="B57" s="63" t="str">
        <f ca="1">IF(ROW(Calculation!B57)-5&gt;Calculation!$D$11-Calculation!$D$10,"",INDIRECT(Calculation!$D$6&amp;"E"&amp;Calculation!$D$10+ROW(Calculation!B57)-5))</f>
        <v/>
      </c>
    </row>
    <row r="58" spans="2:2">
      <c r="B58" s="63" t="str">
        <f ca="1">IF(ROW(Calculation!B58)-5&gt;Calculation!$D$11-Calculation!$D$10,"",INDIRECT(Calculation!$D$6&amp;"E"&amp;Calculation!$D$10+ROW(Calculation!B58)-5))</f>
        <v/>
      </c>
    </row>
    <row r="59" spans="2:2">
      <c r="B59" s="63" t="str">
        <f ca="1">IF(ROW(Calculation!B59)-5&gt;Calculation!$D$11-Calculation!$D$10,"",INDIRECT(Calculation!$D$6&amp;"E"&amp;Calculation!$D$10+ROW(Calculation!B59)-5))</f>
        <v/>
      </c>
    </row>
    <row r="60" spans="2:2">
      <c r="B60" s="63" t="str">
        <f ca="1">IF(ROW(Calculation!B60)-5&gt;Calculation!$D$11-Calculation!$D$10,"",INDIRECT(Calculation!$D$6&amp;"E"&amp;Calculation!$D$10+ROW(Calculation!B60)-5))</f>
        <v/>
      </c>
    </row>
    <row r="61" spans="2:2">
      <c r="B61" s="63" t="str">
        <f ca="1">IF(ROW(Calculation!B61)-5&gt;Calculation!$D$11-Calculation!$D$10,"",INDIRECT(Calculation!$D$6&amp;"E"&amp;Calculation!$D$10+ROW(Calculation!B61)-5))</f>
        <v/>
      </c>
    </row>
    <row r="62" spans="2:2">
      <c r="B62" s="63" t="str">
        <f ca="1">IF(ROW(Calculation!B62)-5&gt;Calculation!$D$11-Calculation!$D$10,"",INDIRECT(Calculation!$D$6&amp;"E"&amp;Calculation!$D$10+ROW(Calculation!B62)-5))</f>
        <v/>
      </c>
    </row>
    <row r="63" spans="2:2">
      <c r="B63" s="63" t="str">
        <f ca="1">IF(ROW(Calculation!B63)-5&gt;Calculation!$D$11-Calculation!$D$10,"",INDIRECT(Calculation!$D$6&amp;"E"&amp;Calculation!$D$10+ROW(Calculation!B63)-5))</f>
        <v/>
      </c>
    </row>
    <row r="64" spans="2:2">
      <c r="B64" s="63" t="str">
        <f ca="1">IF(ROW(Calculation!B64)-5&gt;Calculation!$D$11-Calculation!$D$10,"",INDIRECT(Calculation!$D$6&amp;"E"&amp;Calculation!$D$10+ROW(Calculation!B64)-5))</f>
        <v/>
      </c>
    </row>
    <row r="65" spans="2:2">
      <c r="B65" s="63" t="str">
        <f ca="1">IF(ROW(Calculation!B65)-5&gt;Calculation!$D$11-Calculation!$D$10,"",INDIRECT(Calculation!$D$6&amp;"E"&amp;Calculation!$D$10+ROW(Calculation!B65)-5))</f>
        <v/>
      </c>
    </row>
    <row r="66" spans="2:2">
      <c r="B66" s="63" t="str">
        <f ca="1">IF(ROW(Calculation!B66)-5&gt;Calculation!$D$11-Calculation!$D$10,"",INDIRECT(Calculation!$D$6&amp;"E"&amp;Calculation!$D$10+ROW(Calculation!B66)-5))</f>
        <v/>
      </c>
    </row>
    <row r="67" spans="2:2">
      <c r="B67" s="63" t="str">
        <f ca="1">IF(ROW(Calculation!B67)-5&gt;Calculation!$D$11-Calculation!$D$10,"",INDIRECT(Calculation!$D$6&amp;"E"&amp;Calculation!$D$10+ROW(Calculation!B67)-5))</f>
        <v/>
      </c>
    </row>
    <row r="68" spans="2:2">
      <c r="B68" s="63" t="str">
        <f ca="1">IF(ROW(Calculation!B68)-5&gt;Calculation!$D$11-Calculation!$D$10,"",INDIRECT(Calculation!$D$6&amp;"E"&amp;Calculation!$D$10+ROW(Calculation!B68)-5))</f>
        <v/>
      </c>
    </row>
    <row r="69" spans="2:2">
      <c r="B69" s="63" t="str">
        <f ca="1">IF(ROW(Calculation!B69)-5&gt;Calculation!$D$11-Calculation!$D$10,"",INDIRECT(Calculation!$D$6&amp;"E"&amp;Calculation!$D$10+ROW(Calculation!B69)-5))</f>
        <v/>
      </c>
    </row>
    <row r="70" spans="2:2">
      <c r="B70" s="63" t="str">
        <f ca="1">IF(ROW(Calculation!B70)-5&gt;Calculation!$D$11-Calculation!$D$10,"",INDIRECT(Calculation!$D$6&amp;"E"&amp;Calculation!$D$10+ROW(Calculation!B70)-5))</f>
        <v/>
      </c>
    </row>
    <row r="71" spans="2:2">
      <c r="B71" s="63" t="str">
        <f ca="1">IF(ROW(Calculation!B71)-5&gt;Calculation!$D$11-Calculation!$D$10,"",INDIRECT(Calculation!$D$6&amp;"E"&amp;Calculation!$D$10+ROW(Calculation!B71)-5))</f>
        <v/>
      </c>
    </row>
    <row r="72" spans="2:2">
      <c r="B72" s="63" t="str">
        <f ca="1">IF(ROW(Calculation!B72)-5&gt;Calculation!$D$11-Calculation!$D$10,"",INDIRECT(Calculation!$D$6&amp;"E"&amp;Calculation!$D$10+ROW(Calculation!B72)-5))</f>
        <v/>
      </c>
    </row>
    <row r="73" spans="2:2">
      <c r="B73" s="63" t="str">
        <f ca="1">IF(ROW(Calculation!B73)-5&gt;Calculation!$D$11-Calculation!$D$10,"",INDIRECT(Calculation!$D$6&amp;"E"&amp;Calculation!$D$10+ROW(Calculation!B73)-5))</f>
        <v/>
      </c>
    </row>
    <row r="74" spans="2:2">
      <c r="B74" s="63" t="str">
        <f ca="1">IF(ROW(Calculation!B74)-5&gt;Calculation!$D$11-Calculation!$D$10,"",INDIRECT(Calculation!$D$6&amp;"E"&amp;Calculation!$D$10+ROW(Calculation!B74)-5))</f>
        <v/>
      </c>
    </row>
    <row r="75" spans="2:2">
      <c r="B75" s="63" t="str">
        <f ca="1">IF(ROW(Calculation!B75)-5&gt;Calculation!$D$11-Calculation!$D$10,"",INDIRECT(Calculation!$D$6&amp;"E"&amp;Calculation!$D$10+ROW(Calculation!B75)-5))</f>
        <v/>
      </c>
    </row>
    <row r="76" spans="2:2">
      <c r="B76" s="63" t="str">
        <f ca="1">IF(ROW(Calculation!B76)-5&gt;Calculation!$D$11-Calculation!$D$10,"",INDIRECT(Calculation!$D$6&amp;"E"&amp;Calculation!$D$10+ROW(Calculation!B76)-5))</f>
        <v/>
      </c>
    </row>
    <row r="77" spans="2:2">
      <c r="B77" s="63" t="str">
        <f ca="1">IF(ROW(Calculation!B77)-5&gt;Calculation!$D$11-Calculation!$D$10,"",INDIRECT(Calculation!$D$6&amp;"E"&amp;Calculation!$D$10+ROW(Calculation!B77)-5))</f>
        <v/>
      </c>
    </row>
    <row r="78" spans="2:2">
      <c r="B78" s="63" t="str">
        <f ca="1">IF(ROW(Calculation!B78)-5&gt;Calculation!$D$11-Calculation!$D$10,"",INDIRECT(Calculation!$D$6&amp;"E"&amp;Calculation!$D$10+ROW(Calculation!B78)-5))</f>
        <v/>
      </c>
    </row>
    <row r="79" spans="2:2">
      <c r="B79" s="63" t="str">
        <f ca="1">IF(ROW(Calculation!B79)-5&gt;Calculation!$D$11-Calculation!$D$10,"",INDIRECT(Calculation!$D$6&amp;"E"&amp;Calculation!$D$10+ROW(Calculation!B79)-5))</f>
        <v/>
      </c>
    </row>
    <row r="80" spans="2:2">
      <c r="B80" s="63" t="str">
        <f ca="1">IF(ROW(Calculation!B80)-5&gt;Calculation!$D$11-Calculation!$D$10,"",INDIRECT(Calculation!$D$6&amp;"E"&amp;Calculation!$D$10+ROW(Calculation!B80)-5))</f>
        <v/>
      </c>
    </row>
    <row r="81" spans="2:2">
      <c r="B81" s="63" t="str">
        <f ca="1">IF(ROW(Calculation!B81)-5&gt;Calculation!$D$11-Calculation!$D$10,"",INDIRECT(Calculation!$D$6&amp;"E"&amp;Calculation!$D$10+ROW(Calculation!B81)-5))</f>
        <v/>
      </c>
    </row>
    <row r="82" spans="2:2">
      <c r="B82" s="63" t="str">
        <f ca="1">IF(ROW(Calculation!B82)-5&gt;Calculation!$D$11-Calculation!$D$10,"",INDIRECT(Calculation!$D$6&amp;"E"&amp;Calculation!$D$10+ROW(Calculation!B82)-5))</f>
        <v/>
      </c>
    </row>
    <row r="83" spans="2:2">
      <c r="B83" s="63" t="str">
        <f ca="1">IF(ROW(Calculation!B83)-5&gt;Calculation!$D$11-Calculation!$D$10,"",INDIRECT(Calculation!$D$6&amp;"E"&amp;Calculation!$D$10+ROW(Calculation!B83)-5))</f>
        <v/>
      </c>
    </row>
    <row r="84" spans="2:2">
      <c r="B84" s="63" t="str">
        <f ca="1">IF(ROW(Calculation!B84)-5&gt;Calculation!$D$11-Calculation!$D$10,"",INDIRECT(Calculation!$D$6&amp;"E"&amp;Calculation!$D$10+ROW(Calculation!B84)-5))</f>
        <v/>
      </c>
    </row>
    <row r="85" spans="2:2">
      <c r="B85" s="63" t="str">
        <f ca="1">IF(ROW(Calculation!B85)-5&gt;Calculation!$D$11-Calculation!$D$10,"",INDIRECT(Calculation!$D$6&amp;"E"&amp;Calculation!$D$10+ROW(Calculation!B85)-5))</f>
        <v/>
      </c>
    </row>
    <row r="86" spans="2:2">
      <c r="B86" s="63" t="str">
        <f ca="1">IF(ROW(Calculation!B86)-5&gt;Calculation!$D$11-Calculation!$D$10,"",INDIRECT(Calculation!$D$6&amp;"E"&amp;Calculation!$D$10+ROW(Calculation!B86)-5))</f>
        <v/>
      </c>
    </row>
    <row r="87" spans="2:2">
      <c r="B87" s="63" t="str">
        <f ca="1">IF(ROW(Calculation!B87)-5&gt;Calculation!$D$11-Calculation!$D$10,"",INDIRECT(Calculation!$D$6&amp;"E"&amp;Calculation!$D$10+ROW(Calculation!B87)-5))</f>
        <v/>
      </c>
    </row>
    <row r="88" spans="2:2">
      <c r="B88" s="63" t="str">
        <f ca="1">IF(ROW(Calculation!B88)-5&gt;Calculation!$D$11-Calculation!$D$10,"",INDIRECT(Calculation!$D$6&amp;"E"&amp;Calculation!$D$10+ROW(Calculation!B88)-5))</f>
        <v/>
      </c>
    </row>
    <row r="89" spans="2:2">
      <c r="B89" s="63" t="str">
        <f ca="1">IF(ROW(Calculation!B89)-5&gt;Calculation!$D$11-Calculation!$D$10,"",INDIRECT(Calculation!$D$6&amp;"E"&amp;Calculation!$D$10+ROW(Calculation!B89)-5))</f>
        <v/>
      </c>
    </row>
    <row r="90" spans="2:2">
      <c r="B90" s="63" t="str">
        <f ca="1">IF(ROW(Calculation!B90)-5&gt;Calculation!$D$11-Calculation!$D$10,"",INDIRECT(Calculation!$D$6&amp;"E"&amp;Calculation!$D$10+ROW(Calculation!B90)-5))</f>
        <v/>
      </c>
    </row>
    <row r="91" spans="2:2">
      <c r="B91" s="63" t="str">
        <f ca="1">IF(ROW(Calculation!B91)-5&gt;Calculation!$D$11-Calculation!$D$10,"",INDIRECT(Calculation!$D$6&amp;"E"&amp;Calculation!$D$10+ROW(Calculation!B91)-5))</f>
        <v/>
      </c>
    </row>
    <row r="92" spans="2:2">
      <c r="B92" s="63" t="str">
        <f ca="1">IF(ROW(Calculation!B92)-5&gt;Calculation!$D$11-Calculation!$D$10,"",INDIRECT(Calculation!$D$6&amp;"E"&amp;Calculation!$D$10+ROW(Calculation!B92)-5))</f>
        <v/>
      </c>
    </row>
    <row r="93" spans="2:2">
      <c r="B93" s="63" t="str">
        <f ca="1">IF(ROW(Calculation!B93)-5&gt;Calculation!$D$11-Calculation!$D$10,"",INDIRECT(Calculation!$D$6&amp;"E"&amp;Calculation!$D$10+ROW(Calculation!B93)-5))</f>
        <v/>
      </c>
    </row>
    <row r="94" spans="2:2">
      <c r="B94" s="63" t="str">
        <f ca="1">IF(ROW(Calculation!B94)-5&gt;Calculation!$D$11-Calculation!$D$10,"",INDIRECT(Calculation!$D$6&amp;"E"&amp;Calculation!$D$10+ROW(Calculation!B94)-5))</f>
        <v/>
      </c>
    </row>
    <row r="95" spans="2:2">
      <c r="B95" s="63" t="str">
        <f ca="1">IF(ROW(Calculation!B95)-5&gt;Calculation!$D$11-Calculation!$D$10,"",INDIRECT(Calculation!$D$6&amp;"E"&amp;Calculation!$D$10+ROW(Calculation!B95)-5))</f>
        <v/>
      </c>
    </row>
    <row r="96" spans="2:2">
      <c r="B96" s="63" t="str">
        <f ca="1">IF(ROW(Calculation!B96)-5&gt;Calculation!$D$11-Calculation!$D$10,"",INDIRECT(Calculation!$D$6&amp;"E"&amp;Calculation!$D$10+ROW(Calculation!B96)-5))</f>
        <v/>
      </c>
    </row>
    <row r="97" spans="2:2">
      <c r="B97" s="63" t="str">
        <f ca="1">IF(ROW(Calculation!B97)-5&gt;Calculation!$D$11-Calculation!$D$10,"",INDIRECT(Calculation!$D$6&amp;"E"&amp;Calculation!$D$10+ROW(Calculation!B97)-5))</f>
        <v/>
      </c>
    </row>
    <row r="98" spans="2:2">
      <c r="B98" s="63" t="str">
        <f ca="1">IF(ROW(Calculation!B98)-5&gt;Calculation!$D$11-Calculation!$D$10,"",INDIRECT(Calculation!$D$6&amp;"E"&amp;Calculation!$D$10+ROW(Calculation!B98)-5))</f>
        <v/>
      </c>
    </row>
    <row r="99" spans="2:2">
      <c r="B99" s="63" t="str">
        <f ca="1">IF(ROW(Calculation!B99)-5&gt;Calculation!$D$11-Calculation!$D$10,"",INDIRECT(Calculation!$D$6&amp;"E"&amp;Calculation!$D$10+ROW(Calculation!B99)-5))</f>
        <v/>
      </c>
    </row>
    <row r="100" spans="2:2">
      <c r="B100" s="63" t="str">
        <f ca="1">IF(ROW(Calculation!B100)-5&gt;Calculation!$D$11-Calculation!$D$10,"",INDIRECT(Calculation!$D$6&amp;"E"&amp;Calculation!$D$10+ROW(Calculation!B100)-5))</f>
        <v/>
      </c>
    </row>
  </sheetData>
  <conditionalFormatting sqref="B1:B1048576">
    <cfRule type="expression" dxfId="18" priority="1">
      <formula>ROW()=$F$13</formula>
    </cfRule>
  </conditionalFormatting>
  <dataValidations disablePrompts="1" count="3">
    <dataValidation type="list" allowBlank="1" showInputMessage="1" showErrorMessage="1" sqref="O5" xr:uid="{7479636A-8702-4E46-9F6C-B0A5FC8266D1}">
      <formula1>drop1</formula1>
    </dataValidation>
    <dataValidation type="list" allowBlank="1" showInputMessage="1" showErrorMessage="1" sqref="O7" xr:uid="{9C7E343E-9952-438A-B468-532C0C0F8419}">
      <formula1>INDIRECT("drop"&amp;$K$4)</formula1>
    </dataValidation>
    <dataValidation type="list" allowBlank="1" showInputMessage="1" showErrorMessage="1" sqref="O6" xr:uid="{D2EFAD7E-A22B-43EE-979A-8E090A444918}">
      <formula1>INDIRECT(CONCATENATE("drop"&amp;$K$4))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070D-9EC1-4A8E-AF3C-92AB95956F3B}">
  <sheetPr codeName="Sheet14"/>
  <dimension ref="A1:AB167"/>
  <sheetViews>
    <sheetView workbookViewId="0">
      <pane xSplit="1" ySplit="2" topLeftCell="B21" activePane="bottomRight" state="frozen"/>
      <selection pane="topRight" activeCell="B1" sqref="B1"/>
      <selection pane="bottomLeft" activeCell="A3" sqref="A3"/>
      <selection pane="bottomRight" activeCell="B71" sqref="B71"/>
    </sheetView>
  </sheetViews>
  <sheetFormatPr baseColWidth="10" defaultColWidth="8.6640625" defaultRowHeight="15"/>
  <cols>
    <col min="1" max="1" width="48.83203125" style="329" customWidth="1"/>
    <col min="2" max="2" width="32.6640625" style="324" customWidth="1"/>
    <col min="3" max="3" width="37.6640625" style="324" customWidth="1"/>
    <col min="4" max="4" width="13.1640625" style="363" customWidth="1"/>
    <col min="5" max="5" width="14.83203125" style="363" customWidth="1"/>
    <col min="6" max="6" width="37.6640625" style="324" customWidth="1"/>
    <col min="7" max="7" width="27.83203125" style="324" customWidth="1"/>
    <col min="8" max="8" width="37.6640625" style="324" customWidth="1"/>
    <col min="9" max="9" width="12.5" style="363" customWidth="1"/>
    <col min="10" max="10" width="12.83203125" style="363" customWidth="1"/>
    <col min="11" max="11" width="36.6640625" style="324" customWidth="1"/>
    <col min="12" max="12" width="12.5" style="363" customWidth="1"/>
    <col min="13" max="13" width="13.33203125" style="363" customWidth="1"/>
    <col min="14" max="16384" width="8.6640625" style="63"/>
  </cols>
  <sheetData>
    <row r="1" spans="1:28" ht="17" thickBot="1">
      <c r="A1" s="333" t="s">
        <v>302</v>
      </c>
      <c r="B1" s="316" t="s">
        <v>2235</v>
      </c>
      <c r="C1" s="317" t="s">
        <v>1608</v>
      </c>
      <c r="D1" s="350" t="s">
        <v>1609</v>
      </c>
      <c r="E1" s="351" t="s">
        <v>1610</v>
      </c>
      <c r="F1" s="333" t="s">
        <v>1611</v>
      </c>
      <c r="G1" s="317" t="s">
        <v>1612</v>
      </c>
      <c r="H1" s="333" t="s">
        <v>1613</v>
      </c>
      <c r="I1" s="472" t="s">
        <v>2</v>
      </c>
      <c r="J1" s="473"/>
      <c r="K1" s="317" t="s">
        <v>1614</v>
      </c>
      <c r="L1" s="472" t="s">
        <v>65</v>
      </c>
      <c r="M1" s="474"/>
      <c r="N1" s="294"/>
      <c r="O1" s="295" t="s">
        <v>1615</v>
      </c>
      <c r="P1" s="295"/>
      <c r="Q1" s="295"/>
      <c r="R1" s="295"/>
      <c r="S1" s="295"/>
      <c r="T1" s="295"/>
      <c r="U1" s="295"/>
      <c r="V1" s="295"/>
      <c r="W1" s="295"/>
      <c r="X1" s="295"/>
      <c r="Y1" s="295"/>
      <c r="Z1" s="295"/>
      <c r="AA1" s="295"/>
      <c r="AB1" s="296"/>
    </row>
    <row r="2" spans="1:28" ht="17" thickBot="1">
      <c r="A2" s="334"/>
      <c r="B2" s="318"/>
      <c r="C2" s="319"/>
      <c r="D2" s="352" t="s">
        <v>1616</v>
      </c>
      <c r="E2" s="353" t="s">
        <v>1616</v>
      </c>
      <c r="F2" s="334"/>
      <c r="G2" s="319"/>
      <c r="H2" s="334"/>
      <c r="I2" s="365" t="s">
        <v>1617</v>
      </c>
      <c r="J2" s="366" t="s">
        <v>1618</v>
      </c>
      <c r="K2" s="319"/>
      <c r="L2" s="373" t="s">
        <v>1617</v>
      </c>
      <c r="M2" s="374" t="s">
        <v>1618</v>
      </c>
      <c r="N2" s="297"/>
      <c r="O2" s="298"/>
      <c r="P2" s="298"/>
      <c r="Q2" s="298"/>
      <c r="R2" s="298"/>
      <c r="S2" s="298"/>
      <c r="T2" s="298"/>
      <c r="U2" s="298"/>
      <c r="V2" s="298"/>
      <c r="W2" s="298"/>
      <c r="X2" s="298"/>
      <c r="Y2" s="298"/>
      <c r="Z2" s="298"/>
      <c r="AA2" s="298"/>
      <c r="AB2" s="299"/>
    </row>
    <row r="3" spans="1:28" ht="32">
      <c r="A3" s="341" t="s">
        <v>54</v>
      </c>
      <c r="B3" s="320" t="s">
        <v>2270</v>
      </c>
      <c r="C3" s="321" t="s">
        <v>1619</v>
      </c>
      <c r="D3" s="354">
        <v>5</v>
      </c>
      <c r="E3" s="355">
        <v>1</v>
      </c>
      <c r="F3" s="335" t="s">
        <v>102</v>
      </c>
      <c r="G3" s="321"/>
      <c r="H3" s="335" t="s">
        <v>1620</v>
      </c>
      <c r="I3" s="367">
        <v>0.4</v>
      </c>
      <c r="J3" s="368">
        <v>7</v>
      </c>
      <c r="K3" s="321" t="s">
        <v>1621</v>
      </c>
      <c r="L3" s="375">
        <v>0.3</v>
      </c>
      <c r="M3" s="376">
        <v>5</v>
      </c>
      <c r="N3" s="300" t="s">
        <v>1622</v>
      </c>
      <c r="O3" s="18"/>
      <c r="P3" s="18"/>
      <c r="Q3" s="18"/>
      <c r="R3" s="18"/>
      <c r="S3" s="18"/>
      <c r="T3" s="18"/>
      <c r="U3" s="18"/>
      <c r="V3" s="18"/>
      <c r="W3" s="18"/>
      <c r="X3" s="18"/>
      <c r="Y3" s="18"/>
      <c r="Z3" s="18"/>
      <c r="AA3" s="18"/>
      <c r="AB3" s="301"/>
    </row>
    <row r="4" spans="1:28" ht="48">
      <c r="A4" s="342" t="s">
        <v>710</v>
      </c>
      <c r="B4" s="322" t="s">
        <v>2266</v>
      </c>
      <c r="C4" s="315" t="s">
        <v>2267</v>
      </c>
      <c r="D4" s="356">
        <v>2</v>
      </c>
      <c r="E4" s="357">
        <v>4</v>
      </c>
      <c r="F4" s="336" t="s">
        <v>1623</v>
      </c>
      <c r="G4" s="337" t="s">
        <v>1624</v>
      </c>
      <c r="H4" s="336" t="s">
        <v>1625</v>
      </c>
      <c r="I4" s="369">
        <v>0.8</v>
      </c>
      <c r="J4" s="370">
        <v>3</v>
      </c>
      <c r="K4" s="315" t="s">
        <v>1625</v>
      </c>
      <c r="L4" s="377">
        <v>0.7</v>
      </c>
      <c r="M4" s="378">
        <v>3</v>
      </c>
      <c r="N4" s="300" t="s">
        <v>1626</v>
      </c>
      <c r="O4" s="18"/>
      <c r="P4" s="302" t="s">
        <v>1627</v>
      </c>
      <c r="Q4" s="18"/>
      <c r="R4" s="18" t="s">
        <v>1628</v>
      </c>
      <c r="S4" s="18"/>
      <c r="T4" s="18"/>
      <c r="U4" s="18"/>
      <c r="V4" s="18"/>
      <c r="W4" s="18"/>
      <c r="X4" s="18"/>
      <c r="Y4" s="18"/>
      <c r="Z4" s="18"/>
      <c r="AA4" s="18"/>
      <c r="AB4" s="301"/>
    </row>
    <row r="5" spans="1:28" ht="64">
      <c r="A5" s="342" t="s">
        <v>55</v>
      </c>
      <c r="B5" s="322" t="s">
        <v>2268</v>
      </c>
      <c r="C5" s="315" t="s">
        <v>2254</v>
      </c>
      <c r="D5" s="356">
        <v>1</v>
      </c>
      <c r="E5" s="357">
        <v>4</v>
      </c>
      <c r="F5" s="336" t="s">
        <v>1629</v>
      </c>
      <c r="G5" s="337" t="s">
        <v>1630</v>
      </c>
      <c r="H5" s="336" t="s">
        <v>1631</v>
      </c>
      <c r="I5" s="369">
        <v>0.9</v>
      </c>
      <c r="J5" s="370">
        <v>3</v>
      </c>
      <c r="K5" s="315" t="s">
        <v>1631</v>
      </c>
      <c r="L5" s="377">
        <v>0.9</v>
      </c>
      <c r="M5" s="378">
        <v>3</v>
      </c>
      <c r="N5" s="300" t="s">
        <v>1632</v>
      </c>
      <c r="O5" s="18"/>
      <c r="P5" s="18"/>
      <c r="Q5" s="18"/>
      <c r="R5" s="18"/>
      <c r="S5" s="18"/>
      <c r="T5" s="18"/>
      <c r="U5" s="18"/>
      <c r="V5" s="18"/>
      <c r="W5" s="18"/>
      <c r="X5" s="18"/>
      <c r="Y5" s="18"/>
      <c r="Z5" s="18"/>
      <c r="AA5" s="18"/>
      <c r="AB5" s="301"/>
    </row>
    <row r="6" spans="1:28" ht="16">
      <c r="A6" s="342" t="s">
        <v>470</v>
      </c>
      <c r="B6" s="322" t="s">
        <v>2240</v>
      </c>
      <c r="C6" s="315" t="s">
        <v>1633</v>
      </c>
      <c r="D6" s="356">
        <v>4</v>
      </c>
      <c r="E6" s="357">
        <v>1</v>
      </c>
      <c r="F6" s="336" t="s">
        <v>102</v>
      </c>
      <c r="G6" s="315" t="s">
        <v>1634</v>
      </c>
      <c r="H6" s="343"/>
      <c r="I6" s="369">
        <v>0.01</v>
      </c>
      <c r="J6" s="370">
        <v>7</v>
      </c>
      <c r="K6" s="315" t="s">
        <v>1635</v>
      </c>
      <c r="L6" s="377">
        <v>0.01</v>
      </c>
      <c r="M6" s="378">
        <v>7</v>
      </c>
      <c r="N6" s="303"/>
      <c r="O6" s="18"/>
      <c r="P6" s="18"/>
      <c r="Q6" s="18"/>
      <c r="R6" s="18"/>
      <c r="S6" s="18"/>
      <c r="T6" s="18"/>
      <c r="U6" s="18"/>
      <c r="V6" s="18"/>
      <c r="W6" s="18"/>
      <c r="X6" s="18"/>
      <c r="Y6" s="18"/>
      <c r="Z6" s="18"/>
      <c r="AA6" s="18"/>
      <c r="AB6" s="301"/>
    </row>
    <row r="7" spans="1:28" ht="48">
      <c r="A7" s="342" t="s">
        <v>203</v>
      </c>
      <c r="B7" s="322" t="s">
        <v>2269</v>
      </c>
      <c r="C7" s="315" t="s">
        <v>1636</v>
      </c>
      <c r="D7" s="356">
        <v>3</v>
      </c>
      <c r="E7" s="357">
        <v>3</v>
      </c>
      <c r="F7" s="336" t="s">
        <v>1637</v>
      </c>
      <c r="G7" s="337">
        <v>127000</v>
      </c>
      <c r="H7" s="336" t="s">
        <v>1638</v>
      </c>
      <c r="I7" s="369">
        <v>0.5</v>
      </c>
      <c r="J7" s="370">
        <v>5</v>
      </c>
      <c r="K7" s="315" t="s">
        <v>1639</v>
      </c>
      <c r="L7" s="377">
        <v>0.5</v>
      </c>
      <c r="M7" s="378">
        <v>5</v>
      </c>
      <c r="N7" s="304" t="s">
        <v>1640</v>
      </c>
      <c r="O7" s="18"/>
      <c r="P7" s="302" t="s">
        <v>1641</v>
      </c>
      <c r="Q7" s="18"/>
      <c r="R7" s="302" t="s">
        <v>1642</v>
      </c>
      <c r="S7" s="18"/>
      <c r="T7" s="302" t="s">
        <v>1643</v>
      </c>
      <c r="U7" s="18"/>
      <c r="V7" s="18" t="s">
        <v>1644</v>
      </c>
      <c r="W7" s="18"/>
      <c r="X7" s="18"/>
      <c r="Y7" s="18"/>
      <c r="Z7" s="18"/>
      <c r="AA7" s="18"/>
      <c r="AB7" s="301"/>
    </row>
    <row r="8" spans="1:28" ht="48">
      <c r="A8" s="342" t="s">
        <v>208</v>
      </c>
      <c r="B8" s="322" t="s">
        <v>2275</v>
      </c>
      <c r="C8" s="315" t="s">
        <v>2252</v>
      </c>
      <c r="D8" s="356">
        <v>1</v>
      </c>
      <c r="E8" s="357">
        <v>4</v>
      </c>
      <c r="F8" s="336" t="s">
        <v>102</v>
      </c>
      <c r="G8" s="315"/>
      <c r="H8" s="336" t="s">
        <v>1645</v>
      </c>
      <c r="I8" s="369">
        <v>0.8</v>
      </c>
      <c r="J8" s="370">
        <v>3</v>
      </c>
      <c r="K8" s="315" t="s">
        <v>1646</v>
      </c>
      <c r="L8" s="377">
        <v>0.6</v>
      </c>
      <c r="M8" s="378">
        <v>6</v>
      </c>
      <c r="N8" s="300" t="s">
        <v>1647</v>
      </c>
      <c r="O8" s="18"/>
      <c r="P8" s="18"/>
      <c r="Q8" s="18"/>
      <c r="R8" s="18"/>
      <c r="S8" s="18"/>
      <c r="T8" s="18"/>
      <c r="U8" s="18"/>
      <c r="V8" s="18"/>
      <c r="W8" s="18"/>
      <c r="X8" s="18"/>
      <c r="Y8" s="18"/>
      <c r="Z8" s="18"/>
      <c r="AA8" s="18"/>
      <c r="AB8" s="301"/>
    </row>
    <row r="9" spans="1:28" ht="48">
      <c r="A9" s="342" t="s">
        <v>471</v>
      </c>
      <c r="B9" s="315" t="s">
        <v>2276</v>
      </c>
      <c r="C9" s="315" t="s">
        <v>2251</v>
      </c>
      <c r="D9" s="356">
        <v>2</v>
      </c>
      <c r="E9" s="357">
        <v>3</v>
      </c>
      <c r="F9" s="336" t="s">
        <v>1648</v>
      </c>
      <c r="G9" s="315" t="s">
        <v>1649</v>
      </c>
      <c r="H9" s="336" t="s">
        <v>1650</v>
      </c>
      <c r="I9" s="369">
        <v>0.8</v>
      </c>
      <c r="J9" s="370">
        <v>4</v>
      </c>
      <c r="K9" s="315" t="s">
        <v>1651</v>
      </c>
      <c r="L9" s="377">
        <v>0.6</v>
      </c>
      <c r="M9" s="378">
        <v>4</v>
      </c>
      <c r="N9" s="300" t="s">
        <v>1652</v>
      </c>
      <c r="O9" s="18"/>
      <c r="P9" s="302" t="s">
        <v>1653</v>
      </c>
      <c r="Q9" s="18"/>
      <c r="R9" s="18" t="s">
        <v>1654</v>
      </c>
      <c r="S9" s="18"/>
      <c r="T9" s="18"/>
      <c r="U9" s="18"/>
      <c r="V9" s="18"/>
      <c r="W9" s="18"/>
      <c r="X9" s="18"/>
      <c r="Y9" s="18"/>
      <c r="Z9" s="18"/>
      <c r="AA9" s="18"/>
      <c r="AB9" s="301"/>
    </row>
    <row r="10" spans="1:28" ht="48">
      <c r="A10" s="342" t="s">
        <v>214</v>
      </c>
      <c r="B10" s="322" t="s">
        <v>2271</v>
      </c>
      <c r="C10" s="315" t="s">
        <v>2253</v>
      </c>
      <c r="D10" s="356">
        <v>1</v>
      </c>
      <c r="E10" s="357">
        <v>4</v>
      </c>
      <c r="F10" s="336" t="s">
        <v>1655</v>
      </c>
      <c r="G10" s="315" t="s">
        <v>1656</v>
      </c>
      <c r="H10" s="336" t="s">
        <v>1657</v>
      </c>
      <c r="I10" s="369">
        <v>0.9</v>
      </c>
      <c r="J10" s="370">
        <v>3</v>
      </c>
      <c r="K10" s="315" t="s">
        <v>1658</v>
      </c>
      <c r="L10" s="377">
        <v>0.6</v>
      </c>
      <c r="M10" s="378">
        <v>2</v>
      </c>
      <c r="N10" s="300" t="s">
        <v>1659</v>
      </c>
      <c r="O10" s="18"/>
      <c r="P10" s="18"/>
      <c r="Q10" s="18"/>
      <c r="R10" s="18"/>
      <c r="S10" s="18"/>
      <c r="T10" s="18"/>
      <c r="U10" s="18"/>
      <c r="V10" s="18"/>
      <c r="W10" s="18"/>
      <c r="X10" s="18"/>
      <c r="Y10" s="18"/>
      <c r="Z10" s="18"/>
      <c r="AA10" s="18"/>
      <c r="AB10" s="301"/>
    </row>
    <row r="11" spans="1:28" ht="48">
      <c r="A11" s="342" t="s">
        <v>199</v>
      </c>
      <c r="B11" s="322" t="s">
        <v>2272</v>
      </c>
      <c r="C11" s="315" t="s">
        <v>2250</v>
      </c>
      <c r="D11" s="356">
        <v>2</v>
      </c>
      <c r="E11" s="357">
        <v>4</v>
      </c>
      <c r="F11" s="336" t="s">
        <v>1660</v>
      </c>
      <c r="G11" s="337" t="s">
        <v>1661</v>
      </c>
      <c r="H11" s="336" t="s">
        <v>1662</v>
      </c>
      <c r="I11" s="369">
        <v>0.9</v>
      </c>
      <c r="J11" s="370">
        <v>3</v>
      </c>
      <c r="K11" s="315"/>
      <c r="L11" s="377">
        <v>0.8</v>
      </c>
      <c r="M11" s="378">
        <v>6</v>
      </c>
      <c r="N11" s="300" t="s">
        <v>1663</v>
      </c>
      <c r="O11" s="18"/>
      <c r="P11" s="18" t="s">
        <v>1664</v>
      </c>
      <c r="Q11" s="18"/>
      <c r="R11" s="18" t="s">
        <v>1665</v>
      </c>
      <c r="S11" s="18"/>
      <c r="T11" s="18"/>
      <c r="U11" s="18"/>
      <c r="V11" s="18"/>
      <c r="W11" s="18"/>
      <c r="X11" s="18"/>
      <c r="Y11" s="18"/>
      <c r="Z11" s="18"/>
      <c r="AA11" s="18"/>
      <c r="AB11" s="301"/>
    </row>
    <row r="12" spans="1:28" ht="32">
      <c r="A12" s="342" t="s">
        <v>711</v>
      </c>
      <c r="B12" s="322" t="s">
        <v>2273</v>
      </c>
      <c r="C12" s="315" t="s">
        <v>1619</v>
      </c>
      <c r="D12" s="356">
        <v>3</v>
      </c>
      <c r="E12" s="357">
        <v>3</v>
      </c>
      <c r="F12" s="336" t="s">
        <v>1666</v>
      </c>
      <c r="G12" s="337" t="s">
        <v>1667</v>
      </c>
      <c r="H12" s="336" t="s">
        <v>1668</v>
      </c>
      <c r="I12" s="369">
        <v>0.7</v>
      </c>
      <c r="J12" s="370">
        <v>5</v>
      </c>
      <c r="K12" s="315" t="s">
        <v>1668</v>
      </c>
      <c r="L12" s="377">
        <v>0.3</v>
      </c>
      <c r="M12" s="378">
        <v>5</v>
      </c>
      <c r="N12" s="300" t="s">
        <v>1669</v>
      </c>
      <c r="O12" s="18"/>
      <c r="P12" s="18" t="s">
        <v>1670</v>
      </c>
      <c r="Q12" s="18"/>
      <c r="R12" s="18" t="s">
        <v>1671</v>
      </c>
      <c r="S12" s="18"/>
      <c r="T12" s="18" t="s">
        <v>1672</v>
      </c>
      <c r="U12" s="18"/>
      <c r="V12" s="18"/>
      <c r="W12" s="18"/>
      <c r="X12" s="18"/>
      <c r="Y12" s="18"/>
      <c r="Z12" s="18"/>
      <c r="AA12" s="18"/>
      <c r="AB12" s="301"/>
    </row>
    <row r="13" spans="1:28" ht="64">
      <c r="A13" s="342" t="s">
        <v>198</v>
      </c>
      <c r="B13" s="323" t="s">
        <v>2240</v>
      </c>
      <c r="C13" s="315" t="s">
        <v>1673</v>
      </c>
      <c r="D13" s="356">
        <v>4</v>
      </c>
      <c r="E13" s="357">
        <v>1</v>
      </c>
      <c r="F13" s="336" t="s">
        <v>1674</v>
      </c>
      <c r="G13" s="337" t="s">
        <v>1675</v>
      </c>
      <c r="H13" s="336" t="s">
        <v>1676</v>
      </c>
      <c r="I13" s="369">
        <v>0.1</v>
      </c>
      <c r="J13" s="370">
        <v>5</v>
      </c>
      <c r="K13" s="336" t="s">
        <v>1676</v>
      </c>
      <c r="L13" s="377">
        <v>0.1</v>
      </c>
      <c r="M13" s="378">
        <v>5</v>
      </c>
      <c r="N13" s="300" t="s">
        <v>1677</v>
      </c>
      <c r="O13" s="18"/>
      <c r="P13" s="18"/>
      <c r="Q13" s="18"/>
      <c r="R13" s="18"/>
      <c r="S13" s="18"/>
      <c r="T13" s="18"/>
      <c r="U13" s="18"/>
      <c r="V13" s="18"/>
      <c r="W13" s="18"/>
      <c r="X13" s="18"/>
      <c r="Y13" s="18"/>
      <c r="Z13" s="18"/>
      <c r="AA13" s="18"/>
      <c r="AB13" s="301"/>
    </row>
    <row r="14" spans="1:28" ht="64">
      <c r="A14" s="342" t="s">
        <v>1678</v>
      </c>
      <c r="B14" s="322" t="s">
        <v>2274</v>
      </c>
      <c r="C14" s="315" t="s">
        <v>1619</v>
      </c>
      <c r="D14" s="356">
        <v>4</v>
      </c>
      <c r="E14" s="357">
        <v>1</v>
      </c>
      <c r="F14" s="336" t="s">
        <v>1679</v>
      </c>
      <c r="G14" s="337" t="s">
        <v>1680</v>
      </c>
      <c r="H14" s="336" t="s">
        <v>1681</v>
      </c>
      <c r="I14" s="369">
        <v>0.7</v>
      </c>
      <c r="J14" s="370">
        <v>6</v>
      </c>
      <c r="K14" s="315" t="s">
        <v>1681</v>
      </c>
      <c r="L14" s="377">
        <v>0.7</v>
      </c>
      <c r="M14" s="378">
        <v>6</v>
      </c>
      <c r="N14" s="300" t="s">
        <v>1682</v>
      </c>
      <c r="O14" s="18"/>
      <c r="P14" s="302" t="s">
        <v>1683</v>
      </c>
      <c r="Q14" s="18"/>
      <c r="R14" s="302" t="s">
        <v>1684</v>
      </c>
      <c r="S14" s="18"/>
      <c r="T14" s="18"/>
      <c r="U14" s="18"/>
      <c r="V14" s="18"/>
      <c r="W14" s="18"/>
      <c r="X14" s="18"/>
      <c r="Y14" s="18"/>
      <c r="Z14" s="18"/>
      <c r="AA14" s="18"/>
      <c r="AB14" s="301"/>
    </row>
    <row r="15" spans="1:28" ht="32">
      <c r="A15" s="342" t="s">
        <v>201</v>
      </c>
      <c r="B15" s="322" t="s">
        <v>2277</v>
      </c>
      <c r="C15" s="315" t="s">
        <v>1685</v>
      </c>
      <c r="D15" s="356">
        <v>2</v>
      </c>
      <c r="E15" s="357">
        <v>4</v>
      </c>
      <c r="F15" s="336" t="s">
        <v>1686</v>
      </c>
      <c r="G15" s="315" t="s">
        <v>1687</v>
      </c>
      <c r="H15" s="336" t="s">
        <v>1688</v>
      </c>
      <c r="I15" s="369">
        <v>0.9</v>
      </c>
      <c r="J15" s="370">
        <v>2</v>
      </c>
      <c r="K15" s="315" t="s">
        <v>1688</v>
      </c>
      <c r="L15" s="377">
        <v>0.7</v>
      </c>
      <c r="M15" s="378">
        <v>4</v>
      </c>
      <c r="N15" s="300" t="s">
        <v>1689</v>
      </c>
      <c r="O15" s="18"/>
      <c r="P15" s="18"/>
      <c r="Q15" s="18"/>
      <c r="R15" s="18"/>
      <c r="S15" s="18"/>
      <c r="T15" s="18"/>
      <c r="U15" s="18"/>
      <c r="V15" s="18"/>
      <c r="W15" s="18"/>
      <c r="X15" s="18"/>
      <c r="Y15" s="18"/>
      <c r="Z15" s="18"/>
      <c r="AA15" s="18"/>
      <c r="AB15" s="301"/>
    </row>
    <row r="16" spans="1:28" ht="64">
      <c r="A16" s="342" t="s">
        <v>202</v>
      </c>
      <c r="B16" s="323" t="s">
        <v>2240</v>
      </c>
      <c r="C16" s="315" t="s">
        <v>1619</v>
      </c>
      <c r="D16" s="356">
        <v>3</v>
      </c>
      <c r="E16" s="357">
        <v>2</v>
      </c>
      <c r="F16" s="336" t="s">
        <v>1690</v>
      </c>
      <c r="G16" s="337" t="s">
        <v>1691</v>
      </c>
      <c r="H16" s="336" t="s">
        <v>1692</v>
      </c>
      <c r="I16" s="369">
        <v>0.2</v>
      </c>
      <c r="J16" s="370">
        <v>5</v>
      </c>
      <c r="K16" s="315" t="s">
        <v>1692</v>
      </c>
      <c r="L16" s="377">
        <v>0.2</v>
      </c>
      <c r="M16" s="378">
        <v>5</v>
      </c>
      <c r="N16" s="300" t="s">
        <v>1693</v>
      </c>
      <c r="O16" s="18"/>
      <c r="P16" s="302" t="s">
        <v>1694</v>
      </c>
      <c r="Q16" s="18"/>
      <c r="R16" s="302" t="s">
        <v>1695</v>
      </c>
      <c r="S16" s="18"/>
      <c r="T16" s="18"/>
      <c r="U16" s="18"/>
      <c r="V16" s="18"/>
      <c r="W16" s="18"/>
      <c r="X16" s="18"/>
      <c r="Y16" s="18"/>
      <c r="Z16" s="18"/>
      <c r="AA16" s="18"/>
      <c r="AB16" s="301"/>
    </row>
    <row r="17" spans="1:28" ht="80">
      <c r="A17" s="342" t="s">
        <v>200</v>
      </c>
      <c r="B17" s="323" t="s">
        <v>2240</v>
      </c>
      <c r="C17" s="315" t="s">
        <v>1619</v>
      </c>
      <c r="D17" s="356">
        <v>3</v>
      </c>
      <c r="E17" s="357">
        <v>2</v>
      </c>
      <c r="F17" s="336" t="s">
        <v>1696</v>
      </c>
      <c r="G17" s="315" t="s">
        <v>1697</v>
      </c>
      <c r="H17" s="336" t="s">
        <v>1698</v>
      </c>
      <c r="I17" s="369">
        <v>0.7</v>
      </c>
      <c r="J17" s="370">
        <v>5</v>
      </c>
      <c r="K17" s="315" t="s">
        <v>1698</v>
      </c>
      <c r="L17" s="377">
        <v>0.2</v>
      </c>
      <c r="M17" s="378">
        <v>5</v>
      </c>
      <c r="N17" s="300" t="s">
        <v>1699</v>
      </c>
      <c r="O17" s="18"/>
      <c r="P17" s="18"/>
      <c r="Q17" s="18"/>
      <c r="R17" s="18"/>
      <c r="S17" s="18"/>
      <c r="T17" s="18"/>
      <c r="U17" s="18"/>
      <c r="V17" s="18"/>
      <c r="W17" s="18"/>
      <c r="X17" s="18"/>
      <c r="Y17" s="18"/>
      <c r="Z17" s="18"/>
      <c r="AA17" s="18"/>
      <c r="AB17" s="301"/>
    </row>
    <row r="18" spans="1:28" ht="80">
      <c r="A18" s="342" t="s">
        <v>207</v>
      </c>
      <c r="B18" s="323" t="s">
        <v>2240</v>
      </c>
      <c r="C18" s="315" t="s">
        <v>1619</v>
      </c>
      <c r="D18" s="356">
        <v>3</v>
      </c>
      <c r="E18" s="357">
        <v>2</v>
      </c>
      <c r="F18" s="336" t="s">
        <v>1696</v>
      </c>
      <c r="G18" s="315" t="s">
        <v>1697</v>
      </c>
      <c r="H18" s="336" t="s">
        <v>1698</v>
      </c>
      <c r="I18" s="369">
        <v>0.3</v>
      </c>
      <c r="J18" s="370">
        <v>5</v>
      </c>
      <c r="K18" s="336" t="s">
        <v>1698</v>
      </c>
      <c r="L18" s="377">
        <v>0.3</v>
      </c>
      <c r="M18" s="378">
        <v>5</v>
      </c>
      <c r="N18" s="300" t="s">
        <v>1700</v>
      </c>
      <c r="O18" s="18"/>
      <c r="P18" s="18"/>
      <c r="Q18" s="18"/>
      <c r="R18" s="18"/>
      <c r="S18" s="18"/>
      <c r="T18" s="18"/>
      <c r="U18" s="18"/>
      <c r="V18" s="18"/>
      <c r="W18" s="18"/>
      <c r="X18" s="18"/>
      <c r="Y18" s="18"/>
      <c r="Z18" s="18"/>
      <c r="AA18" s="18"/>
      <c r="AB18" s="301"/>
    </row>
    <row r="19" spans="1:28" ht="32">
      <c r="A19" s="342" t="s">
        <v>712</v>
      </c>
      <c r="B19" s="322" t="s">
        <v>2278</v>
      </c>
      <c r="C19" s="315" t="s">
        <v>1701</v>
      </c>
      <c r="D19" s="356">
        <v>2</v>
      </c>
      <c r="E19" s="357">
        <v>4</v>
      </c>
      <c r="F19" s="336" t="s">
        <v>102</v>
      </c>
      <c r="G19" s="315"/>
      <c r="H19" s="336" t="s">
        <v>1702</v>
      </c>
      <c r="I19" s="369">
        <v>0.7</v>
      </c>
      <c r="J19" s="370">
        <v>3</v>
      </c>
      <c r="K19" s="315" t="s">
        <v>1702</v>
      </c>
      <c r="L19" s="377">
        <v>0.7</v>
      </c>
      <c r="M19" s="378">
        <v>3</v>
      </c>
      <c r="N19" s="300" t="s">
        <v>1703</v>
      </c>
      <c r="O19" s="18"/>
      <c r="P19" s="304" t="s">
        <v>1704</v>
      </c>
      <c r="Q19" s="18"/>
      <c r="R19" s="18"/>
      <c r="S19" s="18"/>
      <c r="T19" s="18"/>
      <c r="U19" s="18"/>
      <c r="V19" s="18"/>
      <c r="W19" s="18"/>
      <c r="X19" s="18"/>
      <c r="Y19" s="18"/>
      <c r="Z19" s="18"/>
      <c r="AA19" s="18"/>
      <c r="AB19" s="301"/>
    </row>
    <row r="20" spans="1:28" ht="32">
      <c r="A20" s="342" t="s">
        <v>713</v>
      </c>
      <c r="B20" s="322" t="s">
        <v>2281</v>
      </c>
      <c r="C20" s="315" t="s">
        <v>2282</v>
      </c>
      <c r="D20" s="356">
        <v>2</v>
      </c>
      <c r="E20" s="357">
        <v>4</v>
      </c>
      <c r="F20" s="336" t="s">
        <v>1705</v>
      </c>
      <c r="G20" s="337">
        <v>4518</v>
      </c>
      <c r="H20" s="336" t="s">
        <v>1706</v>
      </c>
      <c r="I20" s="369">
        <v>0.7</v>
      </c>
      <c r="J20" s="370">
        <v>5</v>
      </c>
      <c r="K20" s="315" t="s">
        <v>1706</v>
      </c>
      <c r="L20" s="377">
        <v>0.5</v>
      </c>
      <c r="M20" s="378">
        <v>5</v>
      </c>
      <c r="N20" s="300" t="s">
        <v>1707</v>
      </c>
      <c r="O20" s="18"/>
      <c r="P20" s="302" t="s">
        <v>1708</v>
      </c>
      <c r="Q20" s="18"/>
      <c r="R20" s="18" t="s">
        <v>1709</v>
      </c>
      <c r="S20" s="18"/>
      <c r="T20" s="18" t="s">
        <v>1710</v>
      </c>
      <c r="U20" s="18"/>
      <c r="V20" s="18"/>
      <c r="W20" s="18"/>
      <c r="X20" s="18"/>
      <c r="Y20" s="18"/>
      <c r="Z20" s="18"/>
      <c r="AA20" s="18"/>
      <c r="AB20" s="301"/>
    </row>
    <row r="21" spans="1:28" ht="48">
      <c r="A21" s="342" t="s">
        <v>714</v>
      </c>
      <c r="B21" s="322" t="s">
        <v>2279</v>
      </c>
      <c r="C21" s="315" t="s">
        <v>2280</v>
      </c>
      <c r="D21" s="356">
        <v>3</v>
      </c>
      <c r="E21" s="357">
        <v>3</v>
      </c>
      <c r="F21" s="336" t="s">
        <v>102</v>
      </c>
      <c r="G21" s="315"/>
      <c r="H21" s="336" t="s">
        <v>1711</v>
      </c>
      <c r="I21" s="369">
        <v>0.7</v>
      </c>
      <c r="J21" s="370">
        <v>5</v>
      </c>
      <c r="K21" s="315" t="s">
        <v>1711</v>
      </c>
      <c r="L21" s="377">
        <v>0.5</v>
      </c>
      <c r="M21" s="378">
        <v>5</v>
      </c>
      <c r="N21" s="300" t="s">
        <v>1712</v>
      </c>
      <c r="O21" s="18"/>
      <c r="P21" s="305" t="s">
        <v>1713</v>
      </c>
      <c r="Q21" s="18"/>
      <c r="R21" s="18"/>
      <c r="S21" s="18"/>
      <c r="T21" s="18"/>
      <c r="U21" s="18"/>
      <c r="V21" s="18"/>
      <c r="W21" s="18"/>
      <c r="X21" s="18"/>
      <c r="Y21" s="18"/>
      <c r="Z21" s="18"/>
      <c r="AA21" s="18"/>
      <c r="AB21" s="301"/>
    </row>
    <row r="22" spans="1:28" ht="112">
      <c r="A22" s="342" t="s">
        <v>715</v>
      </c>
      <c r="B22" s="322" t="s">
        <v>2283</v>
      </c>
      <c r="C22" s="315" t="s">
        <v>1619</v>
      </c>
      <c r="D22" s="356">
        <v>2</v>
      </c>
      <c r="E22" s="357">
        <v>4</v>
      </c>
      <c r="F22" s="336" t="s">
        <v>102</v>
      </c>
      <c r="G22" s="315"/>
      <c r="H22" s="336" t="s">
        <v>1714</v>
      </c>
      <c r="I22" s="369">
        <v>0.8</v>
      </c>
      <c r="J22" s="370">
        <v>5</v>
      </c>
      <c r="K22" s="315" t="s">
        <v>1715</v>
      </c>
      <c r="L22" s="377">
        <v>0.8</v>
      </c>
      <c r="M22" s="378">
        <v>5</v>
      </c>
      <c r="N22" s="300" t="s">
        <v>1716</v>
      </c>
      <c r="O22" s="18"/>
      <c r="P22" s="302" t="s">
        <v>1717</v>
      </c>
      <c r="Q22" s="18"/>
      <c r="R22" s="18"/>
      <c r="S22" s="18"/>
      <c r="T22" s="18"/>
      <c r="U22" s="18"/>
      <c r="V22" s="18"/>
      <c r="W22" s="18"/>
      <c r="X22" s="18"/>
      <c r="Y22" s="18"/>
      <c r="Z22" s="18"/>
      <c r="AA22" s="18"/>
      <c r="AB22" s="301"/>
    </row>
    <row r="23" spans="1:28" ht="64">
      <c r="A23" s="342" t="s">
        <v>224</v>
      </c>
      <c r="B23" s="315" t="s">
        <v>2286</v>
      </c>
      <c r="C23" s="315" t="s">
        <v>2255</v>
      </c>
      <c r="D23" s="356">
        <v>1</v>
      </c>
      <c r="E23" s="357">
        <v>5</v>
      </c>
      <c r="F23" s="336" t="s">
        <v>1718</v>
      </c>
      <c r="G23" s="338" t="s">
        <v>1719</v>
      </c>
      <c r="H23" s="336" t="s">
        <v>1720</v>
      </c>
      <c r="I23" s="369">
        <v>0.9</v>
      </c>
      <c r="J23" s="370">
        <v>3</v>
      </c>
      <c r="K23" s="315" t="s">
        <v>1720</v>
      </c>
      <c r="L23" s="377">
        <v>0.9</v>
      </c>
      <c r="M23" s="378">
        <v>5</v>
      </c>
      <c r="N23" s="300" t="s">
        <v>1721</v>
      </c>
      <c r="O23" s="18"/>
      <c r="P23" s="302" t="s">
        <v>1722</v>
      </c>
      <c r="Q23" s="18"/>
      <c r="R23" s="18"/>
      <c r="S23" s="18"/>
      <c r="T23" s="18"/>
      <c r="U23" s="18"/>
      <c r="V23" s="18"/>
      <c r="W23" s="18"/>
      <c r="X23" s="18"/>
      <c r="Y23" s="18"/>
      <c r="Z23" s="18"/>
      <c r="AA23" s="18"/>
      <c r="AB23" s="301"/>
    </row>
    <row r="24" spans="1:28" ht="32">
      <c r="A24" s="342" t="s">
        <v>716</v>
      </c>
      <c r="B24" s="322" t="s">
        <v>2285</v>
      </c>
      <c r="C24" s="315" t="s">
        <v>2284</v>
      </c>
      <c r="D24" s="356">
        <v>4</v>
      </c>
      <c r="E24" s="357">
        <v>1</v>
      </c>
      <c r="F24" s="336" t="s">
        <v>102</v>
      </c>
      <c r="G24" s="315"/>
      <c r="H24" s="336" t="s">
        <v>1723</v>
      </c>
      <c r="I24" s="369">
        <v>0.5</v>
      </c>
      <c r="J24" s="370">
        <v>5</v>
      </c>
      <c r="K24" s="315" t="s">
        <v>1724</v>
      </c>
      <c r="L24" s="377">
        <v>0.8</v>
      </c>
      <c r="M24" s="378">
        <v>5</v>
      </c>
      <c r="N24" s="300" t="s">
        <v>1725</v>
      </c>
      <c r="O24" s="18"/>
      <c r="P24" s="305" t="s">
        <v>1726</v>
      </c>
      <c r="Q24" s="18"/>
      <c r="R24" s="18"/>
      <c r="S24" s="18"/>
      <c r="T24" s="18"/>
      <c r="U24" s="18"/>
      <c r="V24" s="18"/>
      <c r="W24" s="18"/>
      <c r="X24" s="18"/>
      <c r="Y24" s="18"/>
      <c r="Z24" s="18"/>
      <c r="AA24" s="18"/>
      <c r="AB24" s="301"/>
    </row>
    <row r="25" spans="1:28" ht="64">
      <c r="A25" s="342" t="s">
        <v>717</v>
      </c>
      <c r="B25" s="315" t="s">
        <v>2297</v>
      </c>
      <c r="C25" s="315" t="s">
        <v>2287</v>
      </c>
      <c r="D25" s="356">
        <v>2</v>
      </c>
      <c r="E25" s="357">
        <v>4</v>
      </c>
      <c r="F25" s="336" t="s">
        <v>102</v>
      </c>
      <c r="G25" s="315"/>
      <c r="H25" s="336" t="s">
        <v>1727</v>
      </c>
      <c r="I25" s="369">
        <v>0.9</v>
      </c>
      <c r="J25" s="370">
        <v>3</v>
      </c>
      <c r="K25" s="315" t="s">
        <v>1728</v>
      </c>
      <c r="L25" s="377">
        <v>0.9</v>
      </c>
      <c r="M25" s="378">
        <v>1</v>
      </c>
      <c r="N25" s="300" t="s">
        <v>1729</v>
      </c>
      <c r="O25" s="18"/>
      <c r="P25" s="302" t="s">
        <v>1730</v>
      </c>
      <c r="Q25" s="18"/>
      <c r="R25" s="18"/>
      <c r="S25" s="18"/>
      <c r="T25" s="18"/>
      <c r="U25" s="18"/>
      <c r="V25" s="18"/>
      <c r="W25" s="18"/>
      <c r="X25" s="18"/>
      <c r="Y25" s="18"/>
      <c r="Z25" s="18"/>
      <c r="AA25" s="18"/>
      <c r="AB25" s="301"/>
    </row>
    <row r="26" spans="1:28" ht="32">
      <c r="A26" s="342" t="s">
        <v>719</v>
      </c>
      <c r="B26" s="315" t="s">
        <v>2288</v>
      </c>
      <c r="C26" s="315" t="s">
        <v>2289</v>
      </c>
      <c r="D26" s="356">
        <v>3</v>
      </c>
      <c r="E26" s="357">
        <v>3</v>
      </c>
      <c r="F26" s="336" t="s">
        <v>102</v>
      </c>
      <c r="G26" s="315"/>
      <c r="H26" s="336" t="s">
        <v>1731</v>
      </c>
      <c r="I26" s="369">
        <v>0.9</v>
      </c>
      <c r="J26" s="370">
        <v>3</v>
      </c>
      <c r="K26" s="315"/>
      <c r="L26" s="377">
        <v>0.75</v>
      </c>
      <c r="M26" s="378">
        <v>2</v>
      </c>
      <c r="N26" s="300" t="s">
        <v>1732</v>
      </c>
      <c r="O26" s="18"/>
      <c r="P26" s="302" t="s">
        <v>1733</v>
      </c>
      <c r="Q26" s="18"/>
      <c r="R26" s="18"/>
      <c r="S26" s="18"/>
      <c r="T26" s="18"/>
      <c r="U26" s="18"/>
      <c r="V26" s="18"/>
      <c r="W26" s="18"/>
      <c r="X26" s="18"/>
      <c r="Y26" s="18"/>
      <c r="Z26" s="18"/>
      <c r="AA26" s="18"/>
      <c r="AB26" s="301"/>
    </row>
    <row r="27" spans="1:28" ht="48">
      <c r="A27" s="342" t="s">
        <v>720</v>
      </c>
      <c r="B27" s="322" t="s">
        <v>2290</v>
      </c>
      <c r="C27" s="315" t="s">
        <v>1734</v>
      </c>
      <c r="D27" s="356">
        <v>2</v>
      </c>
      <c r="E27" s="357">
        <v>4</v>
      </c>
      <c r="F27" s="336" t="s">
        <v>102</v>
      </c>
      <c r="G27" s="315"/>
      <c r="H27" s="336" t="s">
        <v>1735</v>
      </c>
      <c r="I27" s="369">
        <v>0.9</v>
      </c>
      <c r="J27" s="370">
        <v>3</v>
      </c>
      <c r="K27" s="315" t="s">
        <v>1735</v>
      </c>
      <c r="L27" s="377">
        <v>0.9</v>
      </c>
      <c r="M27" s="378">
        <v>3</v>
      </c>
      <c r="N27" s="300" t="s">
        <v>1736</v>
      </c>
      <c r="O27" s="18"/>
      <c r="P27" s="18"/>
      <c r="Q27" s="18"/>
      <c r="R27" s="18"/>
      <c r="S27" s="18"/>
      <c r="T27" s="18"/>
      <c r="U27" s="18"/>
      <c r="V27" s="18"/>
      <c r="W27" s="18"/>
      <c r="X27" s="18"/>
      <c r="Y27" s="18"/>
      <c r="Z27" s="18"/>
      <c r="AA27" s="18"/>
      <c r="AB27" s="301"/>
    </row>
    <row r="28" spans="1:28" ht="32">
      <c r="A28" s="342" t="s">
        <v>479</v>
      </c>
      <c r="B28" s="322" t="s">
        <v>2291</v>
      </c>
      <c r="C28" s="315" t="s">
        <v>1737</v>
      </c>
      <c r="D28" s="356">
        <v>3</v>
      </c>
      <c r="E28" s="357">
        <v>2</v>
      </c>
      <c r="F28" s="336" t="s">
        <v>1738</v>
      </c>
      <c r="G28" s="315"/>
      <c r="H28" s="336" t="s">
        <v>1739</v>
      </c>
      <c r="I28" s="369">
        <v>0.7</v>
      </c>
      <c r="J28" s="370">
        <v>5</v>
      </c>
      <c r="K28" s="315"/>
      <c r="L28" s="377">
        <v>0.5</v>
      </c>
      <c r="M28" s="378">
        <v>7</v>
      </c>
      <c r="N28" s="300" t="s">
        <v>1740</v>
      </c>
      <c r="O28" s="18"/>
      <c r="P28" s="18"/>
      <c r="Q28" s="18"/>
      <c r="R28" s="18"/>
      <c r="S28" s="18"/>
      <c r="T28" s="18"/>
      <c r="U28" s="18"/>
      <c r="V28" s="18"/>
      <c r="W28" s="18"/>
      <c r="X28" s="18"/>
      <c r="Y28" s="18"/>
      <c r="Z28" s="18"/>
      <c r="AA28" s="18"/>
      <c r="AB28" s="301"/>
    </row>
    <row r="29" spans="1:28" ht="32">
      <c r="A29" s="342" t="s">
        <v>209</v>
      </c>
      <c r="B29" s="322" t="s">
        <v>2292</v>
      </c>
      <c r="C29" s="315" t="s">
        <v>1619</v>
      </c>
      <c r="D29" s="356">
        <v>4</v>
      </c>
      <c r="E29" s="357">
        <v>1</v>
      </c>
      <c r="F29" s="336" t="s">
        <v>102</v>
      </c>
      <c r="G29" s="315"/>
      <c r="H29" s="336" t="s">
        <v>1741</v>
      </c>
      <c r="I29" s="369">
        <v>0.7</v>
      </c>
      <c r="J29" s="370">
        <v>5</v>
      </c>
      <c r="K29" s="315" t="s">
        <v>1741</v>
      </c>
      <c r="L29" s="377">
        <v>0.9</v>
      </c>
      <c r="M29" s="378">
        <v>5</v>
      </c>
      <c r="N29" s="300" t="s">
        <v>1742</v>
      </c>
      <c r="O29" s="18"/>
      <c r="P29" s="302" t="s">
        <v>1743</v>
      </c>
      <c r="Q29" s="18"/>
      <c r="R29" s="18"/>
      <c r="S29" s="18"/>
      <c r="T29" s="18"/>
      <c r="U29" s="18"/>
      <c r="V29" s="18"/>
      <c r="W29" s="18"/>
      <c r="X29" s="18"/>
      <c r="Y29" s="18"/>
      <c r="Z29" s="18"/>
      <c r="AA29" s="18"/>
      <c r="AB29" s="301"/>
    </row>
    <row r="30" spans="1:28" ht="48">
      <c r="A30" s="342" t="s">
        <v>205</v>
      </c>
      <c r="B30" s="322" t="s">
        <v>2293</v>
      </c>
      <c r="C30" s="315" t="s">
        <v>1744</v>
      </c>
      <c r="D30" s="356">
        <v>4</v>
      </c>
      <c r="E30" s="357">
        <v>2</v>
      </c>
      <c r="F30" s="336" t="s">
        <v>1745</v>
      </c>
      <c r="G30" s="337" t="s">
        <v>1746</v>
      </c>
      <c r="H30" s="336" t="s">
        <v>1747</v>
      </c>
      <c r="I30" s="369">
        <v>0.7</v>
      </c>
      <c r="J30" s="370">
        <v>5</v>
      </c>
      <c r="K30" s="315" t="s">
        <v>1747</v>
      </c>
      <c r="L30" s="377">
        <v>0.4</v>
      </c>
      <c r="M30" s="378">
        <v>5</v>
      </c>
      <c r="N30" s="300" t="s">
        <v>1748</v>
      </c>
      <c r="O30" s="18"/>
      <c r="P30" s="302" t="s">
        <v>1749</v>
      </c>
      <c r="Q30" s="18"/>
      <c r="R30" s="18"/>
      <c r="S30" s="18"/>
      <c r="T30" s="18"/>
      <c r="U30" s="18"/>
      <c r="V30" s="18"/>
      <c r="W30" s="18"/>
      <c r="X30" s="18"/>
      <c r="Y30" s="18"/>
      <c r="Z30" s="18"/>
      <c r="AA30" s="18"/>
      <c r="AB30" s="301"/>
    </row>
    <row r="31" spans="1:28" ht="32">
      <c r="A31" s="342" t="s">
        <v>1750</v>
      </c>
      <c r="B31" s="322" t="s">
        <v>2294</v>
      </c>
      <c r="C31" s="315" t="s">
        <v>2295</v>
      </c>
      <c r="D31" s="356">
        <v>3</v>
      </c>
      <c r="E31" s="357">
        <v>3</v>
      </c>
      <c r="F31" s="336" t="s">
        <v>1751</v>
      </c>
      <c r="G31" s="337" t="s">
        <v>1752</v>
      </c>
      <c r="H31" s="336" t="s">
        <v>1753</v>
      </c>
      <c r="I31" s="369">
        <v>0.7</v>
      </c>
      <c r="J31" s="370">
        <v>6</v>
      </c>
      <c r="K31" s="315" t="s">
        <v>1754</v>
      </c>
      <c r="L31" s="377">
        <v>0.6</v>
      </c>
      <c r="M31" s="378">
        <v>6</v>
      </c>
      <c r="N31" s="300" t="s">
        <v>1755</v>
      </c>
      <c r="O31" s="18"/>
      <c r="P31" s="302" t="s">
        <v>1756</v>
      </c>
      <c r="Q31" s="18"/>
      <c r="R31" s="302" t="s">
        <v>1757</v>
      </c>
      <c r="S31" s="18"/>
      <c r="T31" s="18"/>
      <c r="U31" s="18"/>
      <c r="V31" s="18"/>
      <c r="W31" s="18"/>
      <c r="X31" s="18"/>
      <c r="Y31" s="18"/>
      <c r="Z31" s="18"/>
      <c r="AA31" s="18"/>
      <c r="AB31" s="301"/>
    </row>
    <row r="32" spans="1:28" ht="80">
      <c r="A32" s="342" t="s">
        <v>206</v>
      </c>
      <c r="B32" s="322" t="s">
        <v>2298</v>
      </c>
      <c r="C32" s="315" t="s">
        <v>2296</v>
      </c>
      <c r="D32" s="356">
        <v>2</v>
      </c>
      <c r="E32" s="357">
        <v>4</v>
      </c>
      <c r="F32" s="336" t="s">
        <v>2302</v>
      </c>
      <c r="G32" s="315" t="s">
        <v>2303</v>
      </c>
      <c r="H32" s="336" t="s">
        <v>1759</v>
      </c>
      <c r="I32" s="369">
        <v>0.9</v>
      </c>
      <c r="J32" s="370">
        <v>3</v>
      </c>
      <c r="K32" s="315" t="s">
        <v>1759</v>
      </c>
      <c r="L32" s="377">
        <v>0.7</v>
      </c>
      <c r="M32" s="378">
        <v>5</v>
      </c>
      <c r="N32" s="300" t="s">
        <v>1760</v>
      </c>
      <c r="O32" s="18"/>
      <c r="P32" s="302" t="s">
        <v>1761</v>
      </c>
      <c r="Q32" s="18"/>
      <c r="R32" s="18"/>
      <c r="S32" s="18"/>
      <c r="T32" s="18"/>
      <c r="U32" s="18"/>
      <c r="V32" s="18"/>
      <c r="W32" s="18"/>
      <c r="X32" s="18"/>
      <c r="Y32" s="18"/>
      <c r="Z32" s="18"/>
      <c r="AA32" s="18"/>
      <c r="AB32" s="301"/>
    </row>
    <row r="33" spans="1:28" ht="48">
      <c r="A33" s="342" t="s">
        <v>721</v>
      </c>
      <c r="B33" s="322" t="s">
        <v>2300</v>
      </c>
      <c r="C33" s="315" t="s">
        <v>2301</v>
      </c>
      <c r="D33" s="356">
        <v>3</v>
      </c>
      <c r="E33" s="357">
        <v>3</v>
      </c>
      <c r="F33" s="336" t="s">
        <v>1762</v>
      </c>
      <c r="G33" s="381">
        <v>324441</v>
      </c>
      <c r="H33" s="336" t="s">
        <v>1763</v>
      </c>
      <c r="I33" s="369">
        <v>0.7</v>
      </c>
      <c r="J33" s="370">
        <v>4</v>
      </c>
      <c r="K33" s="315" t="s">
        <v>1763</v>
      </c>
      <c r="L33" s="377">
        <v>0.7</v>
      </c>
      <c r="M33" s="378">
        <v>4</v>
      </c>
      <c r="N33" s="300" t="s">
        <v>1764</v>
      </c>
      <c r="O33" s="18"/>
      <c r="P33" s="302" t="s">
        <v>1765</v>
      </c>
      <c r="Q33" s="18"/>
      <c r="R33" s="18"/>
      <c r="S33" s="18"/>
      <c r="T33" s="18"/>
      <c r="U33" s="18"/>
      <c r="V33" s="18"/>
      <c r="W33" s="18"/>
      <c r="X33" s="18"/>
      <c r="Y33" s="18"/>
      <c r="Z33" s="18"/>
      <c r="AA33" s="18"/>
      <c r="AB33" s="301"/>
    </row>
    <row r="34" spans="1:28" ht="64">
      <c r="A34" s="342" t="s">
        <v>480</v>
      </c>
      <c r="B34" s="322" t="s">
        <v>2306</v>
      </c>
      <c r="C34" s="315" t="s">
        <v>2307</v>
      </c>
      <c r="D34" s="358">
        <v>3</v>
      </c>
      <c r="E34" s="357">
        <v>3</v>
      </c>
      <c r="F34" s="336" t="s">
        <v>2304</v>
      </c>
      <c r="G34" s="337" t="s">
        <v>2305</v>
      </c>
      <c r="H34" s="336" t="s">
        <v>1766</v>
      </c>
      <c r="I34" s="369">
        <v>0.9</v>
      </c>
      <c r="J34" s="370">
        <v>3</v>
      </c>
      <c r="K34" s="315" t="s">
        <v>1767</v>
      </c>
      <c r="L34" s="377">
        <v>0.7</v>
      </c>
      <c r="M34" s="378">
        <v>4</v>
      </c>
      <c r="N34" s="300" t="s">
        <v>1768</v>
      </c>
      <c r="O34" s="18"/>
      <c r="P34" s="18"/>
      <c r="Q34" s="18"/>
      <c r="R34" s="18"/>
      <c r="S34" s="18"/>
      <c r="T34" s="18"/>
      <c r="U34" s="18"/>
      <c r="V34" s="18"/>
      <c r="W34" s="18"/>
      <c r="X34" s="18"/>
      <c r="Y34" s="18"/>
      <c r="Z34" s="18"/>
      <c r="AA34" s="18"/>
      <c r="AB34" s="301"/>
    </row>
    <row r="35" spans="1:28" ht="32">
      <c r="A35" s="342" t="s">
        <v>722</v>
      </c>
      <c r="B35" s="322" t="s">
        <v>2308</v>
      </c>
      <c r="C35" s="315" t="s">
        <v>1769</v>
      </c>
      <c r="D35" s="356">
        <v>2</v>
      </c>
      <c r="E35" s="357">
        <v>4</v>
      </c>
      <c r="F35" s="336" t="s">
        <v>1770</v>
      </c>
      <c r="G35" s="315" t="s">
        <v>1771</v>
      </c>
      <c r="H35" s="336" t="s">
        <v>1772</v>
      </c>
      <c r="I35" s="369">
        <v>0.9</v>
      </c>
      <c r="J35" s="370">
        <v>3</v>
      </c>
      <c r="K35" s="315" t="s">
        <v>1773</v>
      </c>
      <c r="L35" s="377">
        <v>0.7</v>
      </c>
      <c r="M35" s="378">
        <v>7</v>
      </c>
      <c r="N35" s="300" t="s">
        <v>1774</v>
      </c>
      <c r="O35" s="18"/>
      <c r="P35" s="18"/>
      <c r="Q35" s="18"/>
      <c r="R35" s="18"/>
      <c r="S35" s="18"/>
      <c r="T35" s="18"/>
      <c r="U35" s="18"/>
      <c r="V35" s="18"/>
      <c r="W35" s="18"/>
      <c r="X35" s="18"/>
      <c r="Y35" s="18"/>
      <c r="Z35" s="18"/>
      <c r="AA35" s="18"/>
      <c r="AB35" s="301"/>
    </row>
    <row r="36" spans="1:28" ht="32">
      <c r="A36" s="342" t="s">
        <v>481</v>
      </c>
      <c r="B36" s="315" t="s">
        <v>2309</v>
      </c>
      <c r="C36" s="315" t="s">
        <v>2310</v>
      </c>
      <c r="D36" s="356">
        <v>2</v>
      </c>
      <c r="E36" s="357">
        <v>4</v>
      </c>
      <c r="F36" s="336" t="s">
        <v>102</v>
      </c>
      <c r="G36" s="315"/>
      <c r="H36" s="336" t="s">
        <v>1775</v>
      </c>
      <c r="I36" s="369">
        <v>0.8</v>
      </c>
      <c r="J36" s="370">
        <v>3</v>
      </c>
      <c r="K36" s="315" t="s">
        <v>1775</v>
      </c>
      <c r="L36" s="377">
        <v>0.7</v>
      </c>
      <c r="M36" s="378">
        <v>5</v>
      </c>
      <c r="N36" s="300" t="s">
        <v>1776</v>
      </c>
      <c r="O36" s="18"/>
      <c r="P36" s="302" t="s">
        <v>1777</v>
      </c>
      <c r="Q36" s="18"/>
      <c r="R36" s="302" t="s">
        <v>1778</v>
      </c>
      <c r="S36" s="18"/>
      <c r="T36" s="18"/>
      <c r="U36" s="18"/>
      <c r="V36" s="18"/>
      <c r="W36" s="18"/>
      <c r="X36" s="18"/>
      <c r="Y36" s="18"/>
      <c r="Z36" s="18"/>
      <c r="AA36" s="18"/>
      <c r="AB36" s="301"/>
    </row>
    <row r="37" spans="1:28" ht="32">
      <c r="A37" s="342" t="s">
        <v>723</v>
      </c>
      <c r="B37" s="315" t="s">
        <v>2312</v>
      </c>
      <c r="C37" s="315" t="s">
        <v>2311</v>
      </c>
      <c r="D37" s="356">
        <v>2</v>
      </c>
      <c r="E37" s="357">
        <v>4</v>
      </c>
      <c r="F37" s="336" t="s">
        <v>102</v>
      </c>
      <c r="G37" s="315"/>
      <c r="H37" s="336" t="s">
        <v>1779</v>
      </c>
      <c r="I37" s="369">
        <v>0.8</v>
      </c>
      <c r="J37" s="370">
        <v>3</v>
      </c>
      <c r="K37" s="315" t="s">
        <v>1779</v>
      </c>
      <c r="L37" s="377">
        <v>0.7</v>
      </c>
      <c r="M37" s="378">
        <v>3</v>
      </c>
      <c r="N37" s="300" t="s">
        <v>1780</v>
      </c>
      <c r="O37" s="18"/>
      <c r="P37" s="18"/>
      <c r="Q37" s="18"/>
      <c r="R37" s="18"/>
      <c r="S37" s="18"/>
      <c r="T37" s="18"/>
      <c r="U37" s="18"/>
      <c r="V37" s="18"/>
      <c r="W37" s="18"/>
      <c r="X37" s="18"/>
      <c r="Y37" s="18"/>
      <c r="Z37" s="18"/>
      <c r="AA37" s="18"/>
      <c r="AB37" s="301"/>
    </row>
    <row r="38" spans="1:28" ht="32">
      <c r="A38" s="342" t="s">
        <v>213</v>
      </c>
      <c r="B38" s="315" t="s">
        <v>2313</v>
      </c>
      <c r="C38" s="315" t="s">
        <v>2249</v>
      </c>
      <c r="D38" s="356">
        <v>4</v>
      </c>
      <c r="E38" s="357">
        <v>2</v>
      </c>
      <c r="F38" s="336" t="s">
        <v>1781</v>
      </c>
      <c r="G38" s="381">
        <v>6000</v>
      </c>
      <c r="H38" s="336" t="s">
        <v>1782</v>
      </c>
      <c r="I38" s="369">
        <v>0.2</v>
      </c>
      <c r="J38" s="370">
        <v>7</v>
      </c>
      <c r="K38" s="315" t="s">
        <v>1783</v>
      </c>
      <c r="L38" s="377">
        <v>0.2</v>
      </c>
      <c r="M38" s="378">
        <v>7</v>
      </c>
      <c r="N38" s="300" t="s">
        <v>1784</v>
      </c>
      <c r="O38" s="18"/>
      <c r="P38" s="302" t="s">
        <v>1785</v>
      </c>
      <c r="Q38" s="18"/>
      <c r="R38" s="302" t="s">
        <v>1786</v>
      </c>
      <c r="S38" s="18"/>
      <c r="T38" s="18"/>
      <c r="U38" s="18"/>
      <c r="V38" s="18"/>
      <c r="W38" s="18"/>
      <c r="X38" s="18"/>
      <c r="Y38" s="18"/>
      <c r="Z38" s="18"/>
      <c r="AA38" s="18"/>
      <c r="AB38" s="301"/>
    </row>
    <row r="39" spans="1:28" ht="96">
      <c r="A39" s="342" t="s">
        <v>724</v>
      </c>
      <c r="B39" s="323" t="s">
        <v>2240</v>
      </c>
      <c r="C39" s="315" t="s">
        <v>1787</v>
      </c>
      <c r="D39" s="356">
        <v>4</v>
      </c>
      <c r="E39" s="357">
        <v>2</v>
      </c>
      <c r="F39" s="336" t="s">
        <v>1788</v>
      </c>
      <c r="G39" s="337" t="s">
        <v>1789</v>
      </c>
      <c r="H39" s="336" t="s">
        <v>1782</v>
      </c>
      <c r="I39" s="369">
        <v>0.2</v>
      </c>
      <c r="J39" s="370">
        <v>6</v>
      </c>
      <c r="K39" s="315" t="s">
        <v>1790</v>
      </c>
      <c r="L39" s="377">
        <v>0.2</v>
      </c>
      <c r="M39" s="378">
        <v>6</v>
      </c>
      <c r="N39" s="300" t="s">
        <v>1791</v>
      </c>
      <c r="O39" s="18"/>
      <c r="P39" s="18"/>
      <c r="Q39" s="18"/>
      <c r="R39" s="18"/>
      <c r="S39" s="18"/>
      <c r="T39" s="18"/>
      <c r="U39" s="18"/>
      <c r="V39" s="18"/>
      <c r="W39" s="18"/>
      <c r="X39" s="18"/>
      <c r="Y39" s="18"/>
      <c r="Z39" s="18"/>
      <c r="AA39" s="18"/>
      <c r="AB39" s="301"/>
    </row>
    <row r="40" spans="1:28" ht="48">
      <c r="A40" s="342" t="s">
        <v>725</v>
      </c>
      <c r="B40" s="322" t="s">
        <v>2314</v>
      </c>
      <c r="C40" s="315" t="s">
        <v>2315</v>
      </c>
      <c r="D40" s="356">
        <v>2</v>
      </c>
      <c r="E40" s="357">
        <v>5</v>
      </c>
      <c r="F40" s="336" t="s">
        <v>1792</v>
      </c>
      <c r="G40" s="315"/>
      <c r="H40" s="336" t="s">
        <v>1793</v>
      </c>
      <c r="I40" s="369">
        <v>0.8</v>
      </c>
      <c r="J40" s="370">
        <v>5</v>
      </c>
      <c r="K40" s="315" t="s">
        <v>1793</v>
      </c>
      <c r="L40" s="377">
        <v>0.75</v>
      </c>
      <c r="M40" s="378">
        <v>7</v>
      </c>
      <c r="N40" s="300" t="s">
        <v>1794</v>
      </c>
      <c r="O40" s="18"/>
      <c r="P40" s="302" t="s">
        <v>1795</v>
      </c>
      <c r="Q40" s="18"/>
      <c r="R40" s="18"/>
      <c r="S40" s="18"/>
      <c r="T40" s="18"/>
      <c r="U40" s="18"/>
      <c r="V40" s="18"/>
      <c r="W40" s="18"/>
      <c r="X40" s="18"/>
      <c r="Y40" s="18"/>
      <c r="Z40" s="18"/>
      <c r="AA40" s="18"/>
      <c r="AB40" s="301"/>
    </row>
    <row r="41" spans="1:28" ht="48">
      <c r="A41" s="342" t="s">
        <v>56</v>
      </c>
      <c r="B41" s="322" t="s">
        <v>2316</v>
      </c>
      <c r="C41" s="315" t="s">
        <v>1796</v>
      </c>
      <c r="D41" s="356">
        <v>2</v>
      </c>
      <c r="E41" s="357">
        <v>5</v>
      </c>
      <c r="F41" s="336" t="s">
        <v>1797</v>
      </c>
      <c r="G41" s="315" t="s">
        <v>1798</v>
      </c>
      <c r="H41" s="336" t="s">
        <v>1799</v>
      </c>
      <c r="I41" s="369">
        <v>0.8</v>
      </c>
      <c r="J41" s="370">
        <v>3</v>
      </c>
      <c r="K41" s="315" t="s">
        <v>1799</v>
      </c>
      <c r="L41" s="377">
        <v>0.75</v>
      </c>
      <c r="M41" s="378">
        <v>3</v>
      </c>
      <c r="N41" s="300" t="s">
        <v>1756</v>
      </c>
      <c r="O41" s="302" t="s">
        <v>1800</v>
      </c>
      <c r="P41" s="302" t="s">
        <v>1801</v>
      </c>
      <c r="Q41" s="302" t="s">
        <v>1802</v>
      </c>
      <c r="R41" s="18"/>
      <c r="S41" s="18"/>
      <c r="T41" s="18"/>
      <c r="U41" s="18"/>
      <c r="V41" s="18"/>
      <c r="W41" s="18"/>
      <c r="X41" s="18"/>
      <c r="Y41" s="18"/>
      <c r="Z41" s="18"/>
      <c r="AA41" s="18"/>
      <c r="AB41" s="301"/>
    </row>
    <row r="42" spans="1:28" ht="112">
      <c r="A42" s="342" t="s">
        <v>223</v>
      </c>
      <c r="B42" s="315" t="s">
        <v>1803</v>
      </c>
      <c r="C42" s="315" t="s">
        <v>2317</v>
      </c>
      <c r="D42" s="356">
        <v>2</v>
      </c>
      <c r="E42" s="357">
        <v>4</v>
      </c>
      <c r="F42" s="336" t="s">
        <v>1804</v>
      </c>
      <c r="G42" s="315" t="s">
        <v>1922</v>
      </c>
      <c r="H42" s="336" t="s">
        <v>1805</v>
      </c>
      <c r="I42" s="369">
        <v>0.8</v>
      </c>
      <c r="J42" s="370">
        <v>3</v>
      </c>
      <c r="K42" s="315"/>
      <c r="L42" s="377">
        <v>0.75</v>
      </c>
      <c r="M42" s="378">
        <v>3</v>
      </c>
      <c r="N42" s="300" t="s">
        <v>1806</v>
      </c>
      <c r="O42" s="302" t="s">
        <v>1807</v>
      </c>
      <c r="P42" s="302" t="s">
        <v>1808</v>
      </c>
      <c r="Q42" s="18"/>
      <c r="R42" s="18"/>
      <c r="S42" s="18"/>
      <c r="T42" s="18"/>
      <c r="U42" s="18"/>
      <c r="V42" s="18"/>
      <c r="W42" s="18"/>
      <c r="X42" s="18"/>
      <c r="Y42" s="18"/>
      <c r="Z42" s="18"/>
      <c r="AA42" s="18"/>
      <c r="AB42" s="301"/>
    </row>
    <row r="43" spans="1:28" ht="64">
      <c r="A43" s="342" t="s">
        <v>1809</v>
      </c>
      <c r="B43" s="315" t="s">
        <v>2318</v>
      </c>
      <c r="C43" s="315" t="s">
        <v>2319</v>
      </c>
      <c r="D43" s="356" t="s">
        <v>1810</v>
      </c>
      <c r="E43" s="359" t="s">
        <v>1811</v>
      </c>
      <c r="F43" s="336" t="s">
        <v>1804</v>
      </c>
      <c r="G43" s="315"/>
      <c r="H43" s="336" t="s">
        <v>1812</v>
      </c>
      <c r="I43" s="369">
        <v>0.8</v>
      </c>
      <c r="J43" s="370">
        <v>5</v>
      </c>
      <c r="K43" s="336" t="s">
        <v>1812</v>
      </c>
      <c r="L43" s="377">
        <v>0.75</v>
      </c>
      <c r="M43" s="378">
        <v>7</v>
      </c>
      <c r="N43" s="300" t="s">
        <v>1813</v>
      </c>
      <c r="O43" s="18"/>
      <c r="P43" s="18"/>
      <c r="Q43" s="18"/>
      <c r="R43" s="18"/>
      <c r="S43" s="18"/>
      <c r="T43" s="18"/>
      <c r="U43" s="18"/>
      <c r="V43" s="18"/>
      <c r="W43" s="18"/>
      <c r="X43" s="18"/>
      <c r="Y43" s="18"/>
      <c r="Z43" s="18"/>
      <c r="AA43" s="18"/>
      <c r="AB43" s="301"/>
    </row>
    <row r="44" spans="1:28" ht="32">
      <c r="A44" s="342" t="s">
        <v>1814</v>
      </c>
      <c r="B44" s="315" t="s">
        <v>2320</v>
      </c>
      <c r="C44" s="315" t="s">
        <v>2236</v>
      </c>
      <c r="D44" s="356">
        <v>3</v>
      </c>
      <c r="E44" s="357">
        <v>2</v>
      </c>
      <c r="F44" s="336" t="s">
        <v>1804</v>
      </c>
      <c r="G44" s="315"/>
      <c r="H44" s="336" t="s">
        <v>1815</v>
      </c>
      <c r="I44" s="369">
        <v>0.8</v>
      </c>
      <c r="J44" s="370">
        <v>5</v>
      </c>
      <c r="K44" s="315" t="s">
        <v>1815</v>
      </c>
      <c r="L44" s="377">
        <v>0.75</v>
      </c>
      <c r="M44" s="378">
        <v>7</v>
      </c>
      <c r="N44" s="300" t="s">
        <v>1816</v>
      </c>
      <c r="O44" s="18"/>
      <c r="P44" s="18"/>
      <c r="Q44" s="18"/>
      <c r="R44" s="18"/>
      <c r="S44" s="18"/>
      <c r="T44" s="18"/>
      <c r="U44" s="18"/>
      <c r="V44" s="18"/>
      <c r="W44" s="18"/>
      <c r="X44" s="18"/>
      <c r="Y44" s="18"/>
      <c r="Z44" s="18"/>
      <c r="AA44" s="18"/>
      <c r="AB44" s="301"/>
    </row>
    <row r="45" spans="1:28" ht="16">
      <c r="A45" s="342" t="s">
        <v>1817</v>
      </c>
      <c r="B45" s="323" t="s">
        <v>2321</v>
      </c>
      <c r="C45" s="315" t="s">
        <v>1619</v>
      </c>
      <c r="D45" s="356">
        <v>4</v>
      </c>
      <c r="E45" s="357">
        <v>1</v>
      </c>
      <c r="F45" s="336"/>
      <c r="G45" s="315"/>
      <c r="H45" s="336"/>
      <c r="I45" s="369">
        <v>0.2</v>
      </c>
      <c r="J45" s="370">
        <v>5</v>
      </c>
      <c r="K45" s="315"/>
      <c r="L45" s="377">
        <v>0.2</v>
      </c>
      <c r="M45" s="378">
        <v>7</v>
      </c>
      <c r="N45" s="300" t="s">
        <v>1818</v>
      </c>
      <c r="O45" s="18"/>
      <c r="P45" s="18"/>
      <c r="Q45" s="18"/>
      <c r="R45" s="18"/>
      <c r="S45" s="18"/>
      <c r="T45" s="18"/>
      <c r="U45" s="18"/>
      <c r="V45" s="18"/>
      <c r="W45" s="18"/>
      <c r="X45" s="18"/>
      <c r="Y45" s="18"/>
      <c r="Z45" s="18"/>
      <c r="AA45" s="18"/>
      <c r="AB45" s="301"/>
    </row>
    <row r="46" spans="1:28" ht="32">
      <c r="A46" s="342" t="s">
        <v>216</v>
      </c>
      <c r="B46" s="322" t="s">
        <v>2322</v>
      </c>
      <c r="C46" s="315" t="s">
        <v>1819</v>
      </c>
      <c r="D46" s="356">
        <v>2</v>
      </c>
      <c r="E46" s="357">
        <v>3</v>
      </c>
      <c r="F46" s="336" t="s">
        <v>102</v>
      </c>
      <c r="G46" s="315"/>
      <c r="H46" s="336" t="s">
        <v>1820</v>
      </c>
      <c r="I46" s="369">
        <v>0.75</v>
      </c>
      <c r="J46" s="370">
        <v>7</v>
      </c>
      <c r="K46" s="315" t="s">
        <v>1820</v>
      </c>
      <c r="L46" s="377">
        <v>0.5</v>
      </c>
      <c r="M46" s="378">
        <v>7</v>
      </c>
      <c r="N46" s="300" t="s">
        <v>1821</v>
      </c>
      <c r="O46" s="18"/>
      <c r="P46" s="18"/>
      <c r="Q46" s="18"/>
      <c r="R46" s="18"/>
      <c r="S46" s="18"/>
      <c r="T46" s="18"/>
      <c r="U46" s="18"/>
      <c r="V46" s="18"/>
      <c r="W46" s="18"/>
      <c r="X46" s="18"/>
      <c r="Y46" s="18"/>
      <c r="Z46" s="18"/>
      <c r="AA46" s="18"/>
      <c r="AB46" s="301"/>
    </row>
    <row r="47" spans="1:28" ht="48">
      <c r="A47" s="342" t="s">
        <v>482</v>
      </c>
      <c r="B47" s="322" t="s">
        <v>2323</v>
      </c>
      <c r="C47" s="315" t="s">
        <v>2324</v>
      </c>
      <c r="D47" s="356">
        <v>2</v>
      </c>
      <c r="E47" s="357">
        <v>3</v>
      </c>
      <c r="F47" s="336" t="s">
        <v>102</v>
      </c>
      <c r="G47" s="315"/>
      <c r="H47" s="336" t="s">
        <v>1820</v>
      </c>
      <c r="I47" s="369">
        <v>0.9</v>
      </c>
      <c r="J47" s="370">
        <v>3</v>
      </c>
      <c r="K47" s="315" t="s">
        <v>1820</v>
      </c>
      <c r="L47" s="377">
        <v>0.5</v>
      </c>
      <c r="M47" s="378">
        <v>7</v>
      </c>
      <c r="N47" s="300" t="s">
        <v>1822</v>
      </c>
      <c r="O47" s="18"/>
      <c r="P47" s="18"/>
      <c r="Q47" s="18"/>
      <c r="R47" s="18"/>
      <c r="S47" s="18"/>
      <c r="T47" s="18"/>
      <c r="U47" s="18"/>
      <c r="V47" s="18"/>
      <c r="W47" s="18"/>
      <c r="X47" s="18"/>
      <c r="Y47" s="18"/>
      <c r="Z47" s="18"/>
      <c r="AA47" s="18"/>
      <c r="AB47" s="301"/>
    </row>
    <row r="48" spans="1:28" ht="80">
      <c r="A48" s="342" t="s">
        <v>726</v>
      </c>
      <c r="B48" s="323" t="s">
        <v>2259</v>
      </c>
      <c r="C48" s="315" t="s">
        <v>1619</v>
      </c>
      <c r="D48" s="356">
        <v>3</v>
      </c>
      <c r="E48" s="357">
        <v>3</v>
      </c>
      <c r="F48" s="336" t="s">
        <v>1823</v>
      </c>
      <c r="G48" s="315" t="s">
        <v>1824</v>
      </c>
      <c r="H48" s="336" t="s">
        <v>1825</v>
      </c>
      <c r="I48" s="369">
        <v>0.8</v>
      </c>
      <c r="J48" s="370">
        <v>5</v>
      </c>
      <c r="K48" s="315"/>
      <c r="L48" s="377">
        <v>0.75</v>
      </c>
      <c r="M48" s="378">
        <v>7</v>
      </c>
      <c r="N48" s="300" t="s">
        <v>1826</v>
      </c>
      <c r="O48" s="18"/>
      <c r="P48" s="302" t="s">
        <v>1827</v>
      </c>
      <c r="Q48" s="18"/>
      <c r="R48" s="302" t="s">
        <v>1828</v>
      </c>
      <c r="S48" s="18"/>
      <c r="T48" s="302" t="s">
        <v>1829</v>
      </c>
      <c r="U48" s="18"/>
      <c r="V48" s="302" t="s">
        <v>1830</v>
      </c>
      <c r="W48" s="18"/>
      <c r="X48" s="302" t="s">
        <v>1831</v>
      </c>
      <c r="Y48" s="18"/>
      <c r="Z48" s="302" t="s">
        <v>1832</v>
      </c>
      <c r="AA48" s="18"/>
      <c r="AB48" s="301"/>
    </row>
    <row r="49" spans="1:28" ht="96">
      <c r="A49" s="342" t="s">
        <v>222</v>
      </c>
      <c r="B49" s="322" t="s">
        <v>2331</v>
      </c>
      <c r="C49" s="315" t="s">
        <v>1833</v>
      </c>
      <c r="D49" s="356">
        <v>2</v>
      </c>
      <c r="E49" s="357">
        <v>3</v>
      </c>
      <c r="F49" s="336" t="s">
        <v>1834</v>
      </c>
      <c r="G49" s="337" t="s">
        <v>2258</v>
      </c>
      <c r="H49" s="336" t="s">
        <v>1835</v>
      </c>
      <c r="I49" s="369">
        <v>0.5</v>
      </c>
      <c r="J49" s="370">
        <v>7</v>
      </c>
      <c r="K49" s="315" t="s">
        <v>1835</v>
      </c>
      <c r="L49" s="377">
        <v>0.4</v>
      </c>
      <c r="M49" s="378">
        <v>7</v>
      </c>
      <c r="N49" s="304" t="s">
        <v>1836</v>
      </c>
      <c r="O49" s="18"/>
      <c r="P49" s="302" t="s">
        <v>1837</v>
      </c>
      <c r="Q49" s="18"/>
      <c r="R49" s="18"/>
      <c r="S49" s="18"/>
      <c r="T49" s="18"/>
      <c r="U49" s="18"/>
      <c r="V49" s="18"/>
      <c r="W49" s="18"/>
      <c r="X49" s="18"/>
      <c r="Y49" s="18"/>
      <c r="Z49" s="18"/>
      <c r="AA49" s="18"/>
      <c r="AB49" s="301"/>
    </row>
    <row r="50" spans="1:28" ht="64">
      <c r="A50" s="342" t="s">
        <v>727</v>
      </c>
      <c r="B50" s="322" t="s">
        <v>2332</v>
      </c>
      <c r="C50" s="315" t="s">
        <v>1619</v>
      </c>
      <c r="D50" s="356">
        <v>3</v>
      </c>
      <c r="E50" s="357">
        <v>3</v>
      </c>
      <c r="F50" s="336" t="s">
        <v>1738</v>
      </c>
      <c r="G50" s="315"/>
      <c r="H50" s="336" t="s">
        <v>1838</v>
      </c>
      <c r="I50" s="369">
        <v>0.9</v>
      </c>
      <c r="J50" s="370">
        <v>3</v>
      </c>
      <c r="K50" s="315" t="s">
        <v>1838</v>
      </c>
      <c r="L50" s="377">
        <v>0.8</v>
      </c>
      <c r="M50" s="378">
        <v>3</v>
      </c>
      <c r="N50" s="300" t="s">
        <v>1839</v>
      </c>
      <c r="O50" s="18"/>
      <c r="P50" s="302" t="s">
        <v>1840</v>
      </c>
      <c r="Q50" s="18"/>
      <c r="R50" s="18"/>
      <c r="S50" s="18"/>
      <c r="T50" s="18"/>
      <c r="U50" s="18"/>
      <c r="V50" s="18"/>
      <c r="W50" s="18"/>
      <c r="X50" s="18"/>
      <c r="Y50" s="18"/>
      <c r="Z50" s="18"/>
      <c r="AA50" s="18"/>
      <c r="AB50" s="301"/>
    </row>
    <row r="51" spans="1:28" ht="128">
      <c r="A51" s="342" t="s">
        <v>230</v>
      </c>
      <c r="B51" s="322" t="s">
        <v>2333</v>
      </c>
      <c r="C51" s="315" t="s">
        <v>2237</v>
      </c>
      <c r="D51" s="356">
        <v>3</v>
      </c>
      <c r="E51" s="357">
        <v>3</v>
      </c>
      <c r="F51" s="336" t="s">
        <v>1841</v>
      </c>
      <c r="G51" s="315" t="s">
        <v>2264</v>
      </c>
      <c r="H51" s="336" t="s">
        <v>1842</v>
      </c>
      <c r="I51" s="369">
        <v>0.9</v>
      </c>
      <c r="J51" s="370">
        <v>3</v>
      </c>
      <c r="K51" s="315" t="s">
        <v>1842</v>
      </c>
      <c r="L51" s="377">
        <v>0.8</v>
      </c>
      <c r="M51" s="378">
        <v>3</v>
      </c>
      <c r="N51" s="300" t="s">
        <v>1843</v>
      </c>
      <c r="O51" s="18"/>
      <c r="P51" s="302" t="s">
        <v>1844</v>
      </c>
      <c r="Q51" s="18"/>
      <c r="R51" s="302" t="s">
        <v>1845</v>
      </c>
      <c r="S51" s="18"/>
      <c r="T51" s="18"/>
      <c r="U51" s="18"/>
      <c r="V51" s="18"/>
      <c r="W51" s="18"/>
      <c r="X51" s="18"/>
      <c r="Y51" s="18"/>
      <c r="Z51" s="18"/>
      <c r="AA51" s="18"/>
      <c r="AB51" s="301"/>
    </row>
    <row r="52" spans="1:28" ht="16">
      <c r="A52" s="342" t="s">
        <v>1846</v>
      </c>
      <c r="B52" s="315" t="s">
        <v>1847</v>
      </c>
      <c r="C52" s="324" t="s">
        <v>1619</v>
      </c>
      <c r="D52" s="356"/>
      <c r="E52" s="357"/>
      <c r="F52" s="336" t="s">
        <v>1848</v>
      </c>
      <c r="G52" s="315"/>
      <c r="H52" s="336" t="s">
        <v>1849</v>
      </c>
      <c r="I52" s="369">
        <v>0.75</v>
      </c>
      <c r="J52" s="370">
        <v>3</v>
      </c>
      <c r="K52" s="315" t="s">
        <v>1849</v>
      </c>
      <c r="L52" s="377">
        <v>0.75</v>
      </c>
      <c r="M52" s="378">
        <v>5</v>
      </c>
      <c r="N52" s="300" t="s">
        <v>1850</v>
      </c>
      <c r="O52" s="18"/>
      <c r="P52" s="302" t="s">
        <v>1851</v>
      </c>
      <c r="Q52" s="18"/>
      <c r="R52" s="302" t="s">
        <v>1852</v>
      </c>
      <c r="S52" s="18"/>
      <c r="T52" s="18"/>
      <c r="U52" s="18"/>
      <c r="V52" s="18"/>
      <c r="W52" s="18"/>
      <c r="X52" s="18"/>
      <c r="Y52" s="18"/>
      <c r="Z52" s="18"/>
      <c r="AA52" s="18"/>
      <c r="AB52" s="301"/>
    </row>
    <row r="53" spans="1:28" ht="64">
      <c r="A53" s="342" t="s">
        <v>237</v>
      </c>
      <c r="B53" s="322" t="s">
        <v>2334</v>
      </c>
      <c r="C53" s="315" t="s">
        <v>1853</v>
      </c>
      <c r="D53" s="356">
        <v>4</v>
      </c>
      <c r="E53" s="357">
        <v>2</v>
      </c>
      <c r="F53" s="336" t="s">
        <v>1854</v>
      </c>
      <c r="G53" s="315" t="s">
        <v>1758</v>
      </c>
      <c r="H53" s="336" t="s">
        <v>1855</v>
      </c>
      <c r="I53" s="369">
        <v>0.7</v>
      </c>
      <c r="J53" s="370">
        <v>5</v>
      </c>
      <c r="K53" s="315" t="s">
        <v>1855</v>
      </c>
      <c r="L53" s="377">
        <v>0.4</v>
      </c>
      <c r="M53" s="378">
        <v>5</v>
      </c>
      <c r="N53" s="300" t="s">
        <v>1856</v>
      </c>
      <c r="O53" s="18"/>
      <c r="P53" s="18"/>
      <c r="Q53" s="18"/>
      <c r="R53" s="18"/>
      <c r="S53" s="18"/>
      <c r="T53" s="18"/>
      <c r="U53" s="18"/>
      <c r="V53" s="18"/>
      <c r="W53" s="18"/>
      <c r="X53" s="18"/>
      <c r="Y53" s="18"/>
      <c r="Z53" s="18"/>
      <c r="AA53" s="18"/>
      <c r="AB53" s="301"/>
    </row>
    <row r="54" spans="1:28" ht="32">
      <c r="A54" s="342" t="s">
        <v>242</v>
      </c>
      <c r="B54" s="322" t="s">
        <v>2335</v>
      </c>
      <c r="C54" s="315" t="s">
        <v>1853</v>
      </c>
      <c r="D54" s="356">
        <v>4</v>
      </c>
      <c r="E54" s="357">
        <v>2</v>
      </c>
      <c r="F54" s="336" t="s">
        <v>1857</v>
      </c>
      <c r="G54" s="315" t="s">
        <v>1858</v>
      </c>
      <c r="H54" s="336" t="s">
        <v>1859</v>
      </c>
      <c r="I54" s="369">
        <v>0.8</v>
      </c>
      <c r="J54" s="370">
        <v>3</v>
      </c>
      <c r="K54" s="315" t="s">
        <v>1859</v>
      </c>
      <c r="L54" s="377">
        <v>0.7</v>
      </c>
      <c r="M54" s="378">
        <v>7</v>
      </c>
      <c r="N54" s="300" t="s">
        <v>1860</v>
      </c>
      <c r="O54" s="18"/>
      <c r="P54" s="302" t="s">
        <v>1861</v>
      </c>
      <c r="Q54" s="18"/>
      <c r="R54" s="302" t="s">
        <v>1862</v>
      </c>
      <c r="S54" s="18"/>
      <c r="T54" s="18"/>
      <c r="U54" s="18"/>
      <c r="V54" s="18"/>
      <c r="W54" s="18"/>
      <c r="X54" s="18"/>
      <c r="Y54" s="18"/>
      <c r="Z54" s="18"/>
      <c r="AA54" s="18"/>
      <c r="AB54" s="301"/>
    </row>
    <row r="55" spans="1:28" ht="64">
      <c r="A55" s="342" t="s">
        <v>728</v>
      </c>
      <c r="B55" s="322" t="s">
        <v>2336</v>
      </c>
      <c r="C55" s="315" t="s">
        <v>2238</v>
      </c>
      <c r="D55" s="356">
        <v>1</v>
      </c>
      <c r="E55" s="357">
        <v>4</v>
      </c>
      <c r="F55" s="336" t="s">
        <v>1738</v>
      </c>
      <c r="G55" s="315"/>
      <c r="H55" s="336" t="s">
        <v>1863</v>
      </c>
      <c r="I55" s="369">
        <v>0.9</v>
      </c>
      <c r="J55" s="370">
        <v>3</v>
      </c>
      <c r="K55" s="315" t="s">
        <v>1863</v>
      </c>
      <c r="L55" s="377">
        <v>0.8</v>
      </c>
      <c r="M55" s="378">
        <v>5</v>
      </c>
      <c r="N55" s="300" t="s">
        <v>1864</v>
      </c>
      <c r="O55" s="18"/>
      <c r="P55" s="18"/>
      <c r="Q55" s="18"/>
      <c r="R55" s="18"/>
      <c r="S55" s="18"/>
      <c r="T55" s="18"/>
      <c r="U55" s="18"/>
      <c r="V55" s="18"/>
      <c r="W55" s="18"/>
      <c r="X55" s="18"/>
      <c r="Y55" s="18"/>
      <c r="Z55" s="18"/>
      <c r="AA55" s="18"/>
      <c r="AB55" s="301"/>
    </row>
    <row r="56" spans="1:28" ht="32">
      <c r="A56" s="342" t="s">
        <v>1865</v>
      </c>
      <c r="B56" s="322" t="s">
        <v>2337</v>
      </c>
      <c r="C56" s="315" t="s">
        <v>1866</v>
      </c>
      <c r="D56" s="356">
        <v>1</v>
      </c>
      <c r="E56" s="357">
        <v>4</v>
      </c>
      <c r="F56" s="336" t="s">
        <v>1738</v>
      </c>
      <c r="G56" s="315"/>
      <c r="H56" s="336" t="s">
        <v>1867</v>
      </c>
      <c r="I56" s="369">
        <v>0.9</v>
      </c>
      <c r="J56" s="370">
        <v>3</v>
      </c>
      <c r="K56" s="315" t="s">
        <v>1867</v>
      </c>
      <c r="L56" s="377">
        <v>0.8</v>
      </c>
      <c r="M56" s="378">
        <v>5</v>
      </c>
      <c r="N56" s="300" t="s">
        <v>1868</v>
      </c>
      <c r="O56" s="18"/>
      <c r="P56" s="302" t="s">
        <v>1869</v>
      </c>
      <c r="Q56" s="18"/>
      <c r="R56" s="18"/>
      <c r="S56" s="18"/>
      <c r="T56" s="18"/>
      <c r="U56" s="18"/>
      <c r="V56" s="18"/>
      <c r="W56" s="18"/>
      <c r="X56" s="18"/>
      <c r="Y56" s="18"/>
      <c r="Z56" s="18"/>
      <c r="AA56" s="18"/>
      <c r="AB56" s="301"/>
    </row>
    <row r="57" spans="1:28" ht="16">
      <c r="A57" s="342" t="s">
        <v>1870</v>
      </c>
      <c r="B57" s="323" t="s">
        <v>2265</v>
      </c>
      <c r="C57" s="315" t="s">
        <v>1922</v>
      </c>
      <c r="D57" s="356"/>
      <c r="E57" s="357"/>
      <c r="F57" s="336"/>
      <c r="G57" s="315"/>
      <c r="H57" s="336"/>
      <c r="I57" s="369">
        <v>0.8</v>
      </c>
      <c r="J57" s="370">
        <v>7</v>
      </c>
      <c r="K57" s="315"/>
      <c r="L57" s="377">
        <v>0.2</v>
      </c>
      <c r="M57" s="378">
        <v>7</v>
      </c>
      <c r="N57" s="303"/>
      <c r="O57" s="18"/>
      <c r="P57" s="18"/>
      <c r="Q57" s="18"/>
      <c r="R57" s="18"/>
      <c r="S57" s="18"/>
      <c r="T57" s="18"/>
      <c r="U57" s="18"/>
      <c r="V57" s="18"/>
      <c r="W57" s="18"/>
      <c r="X57" s="18"/>
      <c r="Y57" s="18"/>
      <c r="Z57" s="18"/>
      <c r="AA57" s="18"/>
      <c r="AB57" s="301"/>
    </row>
    <row r="58" spans="1:28" ht="32">
      <c r="A58" s="342" t="s">
        <v>729</v>
      </c>
      <c r="B58" s="322" t="s">
        <v>2338</v>
      </c>
      <c r="C58" s="315" t="s">
        <v>1871</v>
      </c>
      <c r="D58" s="356">
        <v>3</v>
      </c>
      <c r="E58" s="357">
        <v>2</v>
      </c>
      <c r="F58" s="336" t="s">
        <v>1872</v>
      </c>
      <c r="G58" s="337" t="s">
        <v>1873</v>
      </c>
      <c r="H58" s="336" t="s">
        <v>1874</v>
      </c>
      <c r="I58" s="369">
        <v>0.9</v>
      </c>
      <c r="J58" s="370">
        <v>3</v>
      </c>
      <c r="K58" s="315" t="s">
        <v>1874</v>
      </c>
      <c r="L58" s="377">
        <v>0.7</v>
      </c>
      <c r="M58" s="378">
        <v>7</v>
      </c>
      <c r="N58" s="300" t="s">
        <v>1875</v>
      </c>
      <c r="O58" s="18"/>
      <c r="P58" s="18"/>
      <c r="Q58" s="18"/>
      <c r="R58" s="18"/>
      <c r="S58" s="18"/>
      <c r="T58" s="18"/>
      <c r="U58" s="18"/>
      <c r="V58" s="18"/>
      <c r="W58" s="18"/>
      <c r="X58" s="18"/>
      <c r="Y58" s="18"/>
      <c r="Z58" s="18"/>
      <c r="AA58" s="18"/>
      <c r="AB58" s="301"/>
    </row>
    <row r="59" spans="1:28" ht="48">
      <c r="A59" s="342" t="s">
        <v>57</v>
      </c>
      <c r="B59" s="322" t="s">
        <v>2340</v>
      </c>
      <c r="C59" s="315" t="s">
        <v>1853</v>
      </c>
      <c r="D59" s="356">
        <v>4</v>
      </c>
      <c r="E59" s="357">
        <v>3</v>
      </c>
      <c r="F59" s="336" t="s">
        <v>2260</v>
      </c>
      <c r="G59" s="315" t="s">
        <v>2261</v>
      </c>
      <c r="H59" s="336" t="s">
        <v>1876</v>
      </c>
      <c r="I59" s="369">
        <v>0.9</v>
      </c>
      <c r="J59" s="370">
        <v>3</v>
      </c>
      <c r="K59" s="315" t="s">
        <v>1877</v>
      </c>
      <c r="L59" s="377">
        <v>0.75</v>
      </c>
      <c r="M59" s="378">
        <v>5</v>
      </c>
      <c r="N59" s="300" t="s">
        <v>1878</v>
      </c>
      <c r="O59" s="18"/>
      <c r="P59" s="302" t="s">
        <v>1879</v>
      </c>
      <c r="Q59" s="18"/>
      <c r="R59" s="18"/>
      <c r="S59" s="18"/>
      <c r="T59" s="18"/>
      <c r="U59" s="18"/>
      <c r="V59" s="18"/>
      <c r="W59" s="18"/>
      <c r="X59" s="18"/>
      <c r="Y59" s="18"/>
      <c r="Z59" s="18"/>
      <c r="AA59" s="18"/>
      <c r="AB59" s="301"/>
    </row>
    <row r="60" spans="1:28" ht="32">
      <c r="A60" s="342" t="s">
        <v>58</v>
      </c>
      <c r="B60" s="322" t="s">
        <v>2339</v>
      </c>
      <c r="C60" s="315" t="s">
        <v>1853</v>
      </c>
      <c r="D60" s="356">
        <v>4</v>
      </c>
      <c r="E60" s="357">
        <v>3</v>
      </c>
      <c r="F60" s="336" t="s">
        <v>1880</v>
      </c>
      <c r="G60" s="315" t="s">
        <v>1881</v>
      </c>
      <c r="H60" s="336" t="s">
        <v>1876</v>
      </c>
      <c r="I60" s="369">
        <v>0.9</v>
      </c>
      <c r="J60" s="370">
        <v>3</v>
      </c>
      <c r="K60" s="315" t="s">
        <v>1877</v>
      </c>
      <c r="L60" s="377">
        <v>0.75</v>
      </c>
      <c r="M60" s="378">
        <v>5</v>
      </c>
      <c r="N60" s="300" t="s">
        <v>1882</v>
      </c>
      <c r="O60" s="18"/>
      <c r="P60" s="18"/>
      <c r="Q60" s="18"/>
      <c r="R60" s="18"/>
      <c r="S60" s="18"/>
      <c r="T60" s="18"/>
      <c r="U60" s="18"/>
      <c r="V60" s="18"/>
      <c r="W60" s="18"/>
      <c r="X60" s="18"/>
      <c r="Y60" s="18"/>
      <c r="Z60" s="18"/>
      <c r="AA60" s="18"/>
      <c r="AB60" s="301"/>
    </row>
    <row r="61" spans="1:28" ht="16">
      <c r="A61" s="342" t="s">
        <v>225</v>
      </c>
      <c r="B61" s="323" t="s">
        <v>2259</v>
      </c>
      <c r="C61" s="315" t="s">
        <v>1619</v>
      </c>
      <c r="D61" s="356">
        <v>4</v>
      </c>
      <c r="E61" s="357">
        <v>2</v>
      </c>
      <c r="F61" s="336" t="s">
        <v>1883</v>
      </c>
      <c r="G61" s="315" t="s">
        <v>1884</v>
      </c>
      <c r="H61" s="336" t="s">
        <v>1885</v>
      </c>
      <c r="I61" s="369">
        <v>0.5</v>
      </c>
      <c r="J61" s="370">
        <v>5</v>
      </c>
      <c r="K61" s="315" t="s">
        <v>1885</v>
      </c>
      <c r="L61" s="377">
        <v>0.5</v>
      </c>
      <c r="M61" s="378">
        <v>7</v>
      </c>
      <c r="N61" s="300" t="s">
        <v>1886</v>
      </c>
      <c r="O61" s="18"/>
      <c r="P61" s="18"/>
      <c r="Q61" s="18"/>
      <c r="R61" s="18"/>
      <c r="S61" s="18"/>
      <c r="T61" s="18"/>
      <c r="U61" s="18"/>
      <c r="V61" s="18"/>
      <c r="W61" s="18"/>
      <c r="X61" s="18"/>
      <c r="Y61" s="18"/>
      <c r="Z61" s="18"/>
      <c r="AA61" s="18"/>
      <c r="AB61" s="301"/>
    </row>
    <row r="62" spans="1:28" ht="48">
      <c r="A62" s="342" t="s">
        <v>219</v>
      </c>
      <c r="B62" s="323" t="s">
        <v>2239</v>
      </c>
      <c r="C62" s="315" t="s">
        <v>1887</v>
      </c>
      <c r="D62" s="356">
        <v>2</v>
      </c>
      <c r="E62" s="357">
        <v>4</v>
      </c>
      <c r="F62" s="336" t="s">
        <v>1888</v>
      </c>
      <c r="G62" s="315" t="s">
        <v>1889</v>
      </c>
      <c r="H62" s="336" t="s">
        <v>1890</v>
      </c>
      <c r="I62" s="369">
        <v>0.9</v>
      </c>
      <c r="J62" s="370">
        <v>3</v>
      </c>
      <c r="K62" s="315" t="s">
        <v>1890</v>
      </c>
      <c r="L62" s="377">
        <v>0.4</v>
      </c>
      <c r="M62" s="378">
        <v>3</v>
      </c>
      <c r="N62" s="300" t="s">
        <v>1891</v>
      </c>
      <c r="O62" s="18"/>
      <c r="P62" s="302" t="s">
        <v>1892</v>
      </c>
      <c r="Q62" s="18"/>
      <c r="R62" s="302" t="s">
        <v>1663</v>
      </c>
      <c r="S62" s="18"/>
      <c r="T62" s="18"/>
      <c r="U62" s="18"/>
      <c r="V62" s="18"/>
      <c r="W62" s="18"/>
      <c r="X62" s="18"/>
      <c r="Y62" s="18"/>
      <c r="Z62" s="18"/>
      <c r="AA62" s="18"/>
      <c r="AB62" s="301"/>
    </row>
    <row r="63" spans="1:28" ht="32">
      <c r="A63" s="342" t="s">
        <v>730</v>
      </c>
      <c r="B63" s="322" t="s">
        <v>2372</v>
      </c>
      <c r="C63" s="315" t="s">
        <v>1893</v>
      </c>
      <c r="D63" s="356">
        <v>4</v>
      </c>
      <c r="E63" s="357">
        <v>2</v>
      </c>
      <c r="F63" s="336" t="s">
        <v>1894</v>
      </c>
      <c r="G63" s="381" t="s">
        <v>2299</v>
      </c>
      <c r="H63" s="336" t="s">
        <v>1895</v>
      </c>
      <c r="I63" s="369">
        <v>0.6</v>
      </c>
      <c r="J63" s="370">
        <v>4</v>
      </c>
      <c r="K63" s="315" t="s">
        <v>1896</v>
      </c>
      <c r="L63" s="377">
        <v>0.6</v>
      </c>
      <c r="M63" s="378">
        <v>6</v>
      </c>
      <c r="N63" s="300" t="s">
        <v>1642</v>
      </c>
      <c r="O63" s="18"/>
      <c r="P63" s="18"/>
      <c r="Q63" s="18"/>
      <c r="R63" s="18"/>
      <c r="S63" s="18"/>
      <c r="T63" s="18"/>
      <c r="U63" s="18"/>
      <c r="V63" s="18"/>
      <c r="W63" s="18"/>
      <c r="X63" s="18"/>
      <c r="Y63" s="18"/>
      <c r="Z63" s="18"/>
      <c r="AA63" s="18"/>
      <c r="AB63" s="301"/>
    </row>
    <row r="64" spans="1:28" ht="32">
      <c r="A64" s="342" t="s">
        <v>731</v>
      </c>
      <c r="B64" s="322" t="s">
        <v>2341</v>
      </c>
      <c r="C64" s="325" t="s">
        <v>1897</v>
      </c>
      <c r="D64" s="356">
        <v>3</v>
      </c>
      <c r="E64" s="357">
        <v>3</v>
      </c>
      <c r="F64" s="336" t="s">
        <v>1898</v>
      </c>
      <c r="G64" s="382"/>
      <c r="H64" s="336" t="s">
        <v>1899</v>
      </c>
      <c r="I64" s="369">
        <v>0.9</v>
      </c>
      <c r="J64" s="370">
        <v>3</v>
      </c>
      <c r="K64" s="315" t="s">
        <v>1899</v>
      </c>
      <c r="L64" s="377">
        <v>0.7</v>
      </c>
      <c r="M64" s="378">
        <v>5</v>
      </c>
      <c r="N64" s="300" t="s">
        <v>1900</v>
      </c>
      <c r="O64" s="18"/>
      <c r="P64" s="302" t="s">
        <v>1901</v>
      </c>
      <c r="Q64" s="18"/>
      <c r="R64" s="18"/>
      <c r="S64" s="18"/>
      <c r="T64" s="18"/>
      <c r="U64" s="18"/>
      <c r="V64" s="18"/>
      <c r="W64" s="18"/>
      <c r="X64" s="18"/>
      <c r="Y64" s="18"/>
      <c r="Z64" s="18"/>
      <c r="AA64" s="18"/>
      <c r="AB64" s="301"/>
    </row>
    <row r="65" spans="1:28" ht="48">
      <c r="A65" s="342" t="s">
        <v>228</v>
      </c>
      <c r="B65" s="322" t="s">
        <v>2342</v>
      </c>
      <c r="C65" s="315" t="s">
        <v>1902</v>
      </c>
      <c r="D65" s="356">
        <v>3</v>
      </c>
      <c r="E65" s="357">
        <v>2</v>
      </c>
      <c r="F65" s="336" t="s">
        <v>1903</v>
      </c>
      <c r="G65" s="381">
        <v>577000</v>
      </c>
      <c r="H65" s="336" t="s">
        <v>1904</v>
      </c>
      <c r="I65" s="369">
        <v>0.8</v>
      </c>
      <c r="J65" s="370">
        <v>4</v>
      </c>
      <c r="K65" s="315" t="s">
        <v>1904</v>
      </c>
      <c r="L65" s="377">
        <v>0.75</v>
      </c>
      <c r="M65" s="378">
        <v>6</v>
      </c>
      <c r="N65" s="300" t="s">
        <v>1905</v>
      </c>
      <c r="O65" s="18"/>
      <c r="P65" s="302" t="s">
        <v>1906</v>
      </c>
      <c r="Q65" s="18"/>
      <c r="R65" s="302" t="s">
        <v>1845</v>
      </c>
      <c r="S65" s="18"/>
      <c r="T65" s="18"/>
      <c r="U65" s="18"/>
      <c r="V65" s="18"/>
      <c r="W65" s="18"/>
      <c r="X65" s="302" t="s">
        <v>1907</v>
      </c>
      <c r="Y65" s="18"/>
      <c r="Z65" s="18"/>
      <c r="AA65" s="18"/>
      <c r="AB65" s="301"/>
    </row>
    <row r="66" spans="1:28" ht="64">
      <c r="A66" s="342" t="s">
        <v>483</v>
      </c>
      <c r="B66" s="323" t="s">
        <v>2373</v>
      </c>
      <c r="C66" s="315" t="s">
        <v>2374</v>
      </c>
      <c r="D66" s="356">
        <v>2</v>
      </c>
      <c r="E66" s="357">
        <v>4</v>
      </c>
      <c r="F66" s="336" t="s">
        <v>102</v>
      </c>
      <c r="G66" s="382"/>
      <c r="H66" s="336" t="s">
        <v>1908</v>
      </c>
      <c r="I66" s="369">
        <v>0.9</v>
      </c>
      <c r="J66" s="370">
        <v>3</v>
      </c>
      <c r="K66" s="315" t="s">
        <v>1908</v>
      </c>
      <c r="L66" s="377">
        <v>0.9</v>
      </c>
      <c r="M66" s="378">
        <v>3</v>
      </c>
      <c r="N66" s="300" t="s">
        <v>1909</v>
      </c>
      <c r="O66" s="18"/>
      <c r="P66" s="302" t="s">
        <v>1910</v>
      </c>
      <c r="Q66" s="18"/>
      <c r="R66" s="18"/>
      <c r="S66" s="18"/>
      <c r="T66" s="18"/>
      <c r="U66" s="18"/>
      <c r="V66" s="18"/>
      <c r="W66" s="18"/>
      <c r="X66" s="18"/>
      <c r="Y66" s="18"/>
      <c r="Z66" s="18"/>
      <c r="AA66" s="18"/>
      <c r="AB66" s="301"/>
    </row>
    <row r="67" spans="1:28" ht="32">
      <c r="A67" s="342" t="s">
        <v>484</v>
      </c>
      <c r="B67" s="322" t="s">
        <v>2343</v>
      </c>
      <c r="C67" s="315" t="s">
        <v>1911</v>
      </c>
      <c r="D67" s="356">
        <v>4</v>
      </c>
      <c r="E67" s="357">
        <v>2</v>
      </c>
      <c r="F67" s="336" t="s">
        <v>1912</v>
      </c>
      <c r="G67" s="315" t="s">
        <v>1758</v>
      </c>
      <c r="H67" s="336" t="s">
        <v>1913</v>
      </c>
      <c r="I67" s="369">
        <v>0.5</v>
      </c>
      <c r="J67" s="370">
        <v>7</v>
      </c>
      <c r="K67" s="315" t="s">
        <v>1913</v>
      </c>
      <c r="L67" s="377">
        <v>0.5</v>
      </c>
      <c r="M67" s="378">
        <v>7</v>
      </c>
      <c r="N67" s="300" t="s">
        <v>1914</v>
      </c>
      <c r="O67" s="18"/>
      <c r="P67" s="18"/>
      <c r="Q67" s="18"/>
      <c r="R67" s="18"/>
      <c r="S67" s="18"/>
      <c r="T67" s="18"/>
      <c r="U67" s="18"/>
      <c r="V67" s="18"/>
      <c r="W67" s="18"/>
      <c r="X67" s="18"/>
      <c r="Y67" s="18"/>
      <c r="Z67" s="18"/>
      <c r="AA67" s="18"/>
      <c r="AB67" s="301"/>
    </row>
    <row r="68" spans="1:28" ht="48">
      <c r="A68" s="342" t="s">
        <v>235</v>
      </c>
      <c r="B68" s="323" t="s">
        <v>2240</v>
      </c>
      <c r="C68" s="315" t="s">
        <v>1915</v>
      </c>
      <c r="D68" s="356">
        <v>3</v>
      </c>
      <c r="E68" s="357">
        <v>3</v>
      </c>
      <c r="F68" s="336" t="s">
        <v>1916</v>
      </c>
      <c r="G68" s="315" t="s">
        <v>1917</v>
      </c>
      <c r="H68" s="336" t="s">
        <v>1918</v>
      </c>
      <c r="I68" s="369">
        <v>0.7</v>
      </c>
      <c r="J68" s="370">
        <v>5</v>
      </c>
      <c r="K68" s="315" t="s">
        <v>1918</v>
      </c>
      <c r="L68" s="377">
        <v>0.7</v>
      </c>
      <c r="M68" s="378">
        <v>5</v>
      </c>
      <c r="N68" s="300" t="s">
        <v>1919</v>
      </c>
      <c r="O68" s="18"/>
      <c r="P68" s="302" t="s">
        <v>1920</v>
      </c>
      <c r="Q68" s="18"/>
      <c r="R68" s="302" t="s">
        <v>1921</v>
      </c>
      <c r="S68" s="18"/>
      <c r="T68" s="18"/>
      <c r="U68" s="18"/>
      <c r="V68" s="18"/>
      <c r="W68" s="18"/>
      <c r="X68" s="18"/>
      <c r="Y68" s="18"/>
      <c r="Z68" s="18"/>
      <c r="AA68" s="18"/>
      <c r="AB68" s="301"/>
    </row>
    <row r="69" spans="1:28" ht="32">
      <c r="A69" s="342" t="s">
        <v>485</v>
      </c>
      <c r="B69" s="322" t="s">
        <v>2375</v>
      </c>
      <c r="C69" s="315" t="s">
        <v>1922</v>
      </c>
      <c r="D69" s="356">
        <v>3</v>
      </c>
      <c r="E69" s="357">
        <v>2</v>
      </c>
      <c r="F69" s="336" t="s">
        <v>1738</v>
      </c>
      <c r="G69" s="315" t="s">
        <v>1758</v>
      </c>
      <c r="H69" s="344" t="s">
        <v>1923</v>
      </c>
      <c r="I69" s="369">
        <v>0.5</v>
      </c>
      <c r="J69" s="370">
        <v>5</v>
      </c>
      <c r="K69" s="345" t="s">
        <v>1923</v>
      </c>
      <c r="L69" s="377">
        <v>0.5</v>
      </c>
      <c r="M69" s="378">
        <v>5</v>
      </c>
      <c r="N69" s="300" t="s">
        <v>1924</v>
      </c>
      <c r="O69" s="18"/>
      <c r="P69" s="18"/>
      <c r="Q69" s="18"/>
      <c r="R69" s="18"/>
      <c r="S69" s="18"/>
      <c r="T69" s="18"/>
      <c r="U69" s="18"/>
      <c r="V69" s="18"/>
      <c r="W69" s="18"/>
      <c r="X69" s="18"/>
      <c r="Y69" s="18"/>
      <c r="Z69" s="18"/>
      <c r="AA69" s="18"/>
      <c r="AB69" s="301"/>
    </row>
    <row r="70" spans="1:28" ht="48">
      <c r="A70" s="342" t="s">
        <v>732</v>
      </c>
      <c r="B70" s="322" t="s">
        <v>2344</v>
      </c>
      <c r="C70" s="315" t="s">
        <v>1925</v>
      </c>
      <c r="D70" s="356">
        <v>1</v>
      </c>
      <c r="E70" s="357">
        <v>4</v>
      </c>
      <c r="F70" s="336" t="s">
        <v>1926</v>
      </c>
      <c r="G70" s="339" t="s">
        <v>1630</v>
      </c>
      <c r="H70" s="346" t="s">
        <v>1927</v>
      </c>
      <c r="I70" s="369">
        <v>0.9</v>
      </c>
      <c r="J70" s="370">
        <v>3</v>
      </c>
      <c r="K70" s="315" t="s">
        <v>1928</v>
      </c>
      <c r="L70" s="377">
        <v>0.7</v>
      </c>
      <c r="M70" s="378">
        <v>2</v>
      </c>
      <c r="N70" s="300" t="s">
        <v>1929</v>
      </c>
      <c r="O70" s="18"/>
      <c r="P70" s="18"/>
      <c r="Q70" s="18"/>
      <c r="R70" s="18"/>
      <c r="S70" s="18"/>
      <c r="T70" s="18"/>
      <c r="U70" s="18"/>
      <c r="V70" s="18"/>
      <c r="W70" s="18"/>
      <c r="X70" s="18"/>
      <c r="Y70" s="18"/>
      <c r="Z70" s="18"/>
      <c r="AA70" s="18"/>
      <c r="AB70" s="301"/>
    </row>
    <row r="71" spans="1:28" ht="16">
      <c r="A71" s="342" t="s">
        <v>1930</v>
      </c>
      <c r="B71" s="323" t="s">
        <v>2239</v>
      </c>
      <c r="C71" s="315" t="s">
        <v>1619</v>
      </c>
      <c r="D71" s="356"/>
      <c r="E71" s="357"/>
      <c r="F71" s="336"/>
      <c r="G71" s="315"/>
      <c r="H71" s="336"/>
      <c r="I71" s="369">
        <v>0.4</v>
      </c>
      <c r="J71" s="370">
        <v>7</v>
      </c>
      <c r="K71" s="315"/>
      <c r="L71" s="377">
        <v>0.2</v>
      </c>
      <c r="M71" s="378">
        <v>7</v>
      </c>
      <c r="N71" s="303"/>
      <c r="O71" s="18"/>
      <c r="P71" s="18"/>
      <c r="Q71" s="18"/>
      <c r="R71" s="18"/>
      <c r="S71" s="18"/>
      <c r="T71" s="18"/>
      <c r="U71" s="18"/>
      <c r="V71" s="18"/>
      <c r="W71" s="18"/>
      <c r="X71" s="18"/>
      <c r="Y71" s="18"/>
      <c r="Z71" s="18"/>
      <c r="AA71" s="18"/>
      <c r="AB71" s="301"/>
    </row>
    <row r="72" spans="1:28" ht="32">
      <c r="A72" s="342" t="s">
        <v>240</v>
      </c>
      <c r="B72" s="323" t="s">
        <v>2239</v>
      </c>
      <c r="C72" s="315" t="s">
        <v>1931</v>
      </c>
      <c r="D72" s="356">
        <v>4</v>
      </c>
      <c r="E72" s="357">
        <v>2</v>
      </c>
      <c r="F72" s="336" t="s">
        <v>1932</v>
      </c>
      <c r="G72" s="315" t="s">
        <v>1933</v>
      </c>
      <c r="H72" s="336" t="s">
        <v>1934</v>
      </c>
      <c r="I72" s="369">
        <v>0.6</v>
      </c>
      <c r="J72" s="370">
        <v>5</v>
      </c>
      <c r="K72" s="315" t="s">
        <v>219</v>
      </c>
      <c r="L72" s="377">
        <v>0.1</v>
      </c>
      <c r="M72" s="378">
        <v>5</v>
      </c>
      <c r="N72" s="300" t="s">
        <v>1935</v>
      </c>
      <c r="O72" s="18"/>
      <c r="P72" s="302" t="s">
        <v>1936</v>
      </c>
      <c r="Q72" s="18"/>
      <c r="R72" s="302" t="s">
        <v>1937</v>
      </c>
      <c r="S72" s="18"/>
      <c r="T72" s="302" t="s">
        <v>1938</v>
      </c>
      <c r="U72" s="18"/>
      <c r="V72" s="302" t="s">
        <v>1939</v>
      </c>
      <c r="W72" s="18"/>
      <c r="X72" s="18"/>
      <c r="Y72" s="18"/>
      <c r="Z72" s="18"/>
      <c r="AA72" s="18"/>
      <c r="AB72" s="301"/>
    </row>
    <row r="73" spans="1:28" ht="32">
      <c r="A73" s="342" t="s">
        <v>733</v>
      </c>
      <c r="B73" s="323" t="s">
        <v>2239</v>
      </c>
      <c r="C73" s="315" t="s">
        <v>1940</v>
      </c>
      <c r="D73" s="356">
        <v>2</v>
      </c>
      <c r="E73" s="357">
        <v>3</v>
      </c>
      <c r="F73" s="336" t="s">
        <v>1941</v>
      </c>
      <c r="G73" s="315" t="s">
        <v>1942</v>
      </c>
      <c r="H73" s="336" t="s">
        <v>1943</v>
      </c>
      <c r="I73" s="369">
        <v>0.8</v>
      </c>
      <c r="J73" s="370">
        <v>5</v>
      </c>
      <c r="K73" s="315" t="s">
        <v>1944</v>
      </c>
      <c r="L73" s="377">
        <v>0.7</v>
      </c>
      <c r="M73" s="378">
        <v>5</v>
      </c>
      <c r="N73" s="300" t="s">
        <v>1945</v>
      </c>
      <c r="O73" s="18"/>
      <c r="P73" s="302" t="s">
        <v>1946</v>
      </c>
      <c r="Q73" s="18"/>
      <c r="R73" s="18"/>
      <c r="S73" s="18"/>
      <c r="T73" s="18"/>
      <c r="U73" s="18"/>
      <c r="V73" s="18"/>
      <c r="W73" s="18"/>
      <c r="X73" s="18"/>
      <c r="Y73" s="18"/>
      <c r="Z73" s="18"/>
      <c r="AA73" s="18"/>
      <c r="AB73" s="301"/>
    </row>
    <row r="74" spans="1:28" ht="32">
      <c r="A74" s="342" t="s">
        <v>215</v>
      </c>
      <c r="B74" s="322" t="s">
        <v>2376</v>
      </c>
      <c r="C74" s="315" t="s">
        <v>1619</v>
      </c>
      <c r="D74" s="356">
        <v>4</v>
      </c>
      <c r="E74" s="357">
        <v>1</v>
      </c>
      <c r="F74" s="336" t="s">
        <v>102</v>
      </c>
      <c r="G74" s="315"/>
      <c r="H74" s="336" t="s">
        <v>1947</v>
      </c>
      <c r="I74" s="369">
        <v>0.6</v>
      </c>
      <c r="J74" s="370">
        <v>5</v>
      </c>
      <c r="K74" s="315" t="s">
        <v>1947</v>
      </c>
      <c r="L74" s="377">
        <v>0.8</v>
      </c>
      <c r="M74" s="378">
        <v>7</v>
      </c>
      <c r="N74" s="300" t="s">
        <v>1948</v>
      </c>
      <c r="O74" s="18"/>
      <c r="P74" s="18"/>
      <c r="Q74" s="18"/>
      <c r="R74" s="18"/>
      <c r="S74" s="18"/>
      <c r="T74" s="18"/>
      <c r="U74" s="18"/>
      <c r="V74" s="18"/>
      <c r="W74" s="18"/>
      <c r="X74" s="18"/>
      <c r="Y74" s="18"/>
      <c r="Z74" s="18"/>
      <c r="AA74" s="18"/>
      <c r="AB74" s="301"/>
    </row>
    <row r="75" spans="1:28" ht="48">
      <c r="A75" s="342" t="s">
        <v>59</v>
      </c>
      <c r="B75" s="322" t="s">
        <v>2377</v>
      </c>
      <c r="C75" s="315" t="s">
        <v>1619</v>
      </c>
      <c r="D75" s="356">
        <v>4</v>
      </c>
      <c r="E75" s="357">
        <v>1</v>
      </c>
      <c r="F75" s="336" t="s">
        <v>102</v>
      </c>
      <c r="G75" s="315"/>
      <c r="H75" s="336" t="s">
        <v>1949</v>
      </c>
      <c r="I75" s="369">
        <v>0.6</v>
      </c>
      <c r="J75" s="370">
        <v>5</v>
      </c>
      <c r="K75" s="315" t="s">
        <v>1849</v>
      </c>
      <c r="L75" s="377">
        <v>0.8</v>
      </c>
      <c r="M75" s="378">
        <v>7</v>
      </c>
      <c r="N75" s="300" t="s">
        <v>1950</v>
      </c>
      <c r="O75" s="18"/>
      <c r="P75" s="18"/>
      <c r="Q75" s="18"/>
      <c r="R75" s="18"/>
      <c r="S75" s="18"/>
      <c r="T75" s="18"/>
      <c r="U75" s="18"/>
      <c r="V75" s="18"/>
      <c r="W75" s="18"/>
      <c r="X75" s="18"/>
      <c r="Y75" s="18"/>
      <c r="Z75" s="18"/>
      <c r="AA75" s="18"/>
      <c r="AB75" s="301"/>
    </row>
    <row r="76" spans="1:28" ht="48">
      <c r="A76" s="342" t="s">
        <v>212</v>
      </c>
      <c r="B76" s="322" t="s">
        <v>2345</v>
      </c>
      <c r="C76" s="315" t="s">
        <v>1951</v>
      </c>
      <c r="D76" s="356">
        <v>1</v>
      </c>
      <c r="E76" s="357">
        <v>3</v>
      </c>
      <c r="F76" s="336" t="s">
        <v>1952</v>
      </c>
      <c r="G76" s="339" t="s">
        <v>1630</v>
      </c>
      <c r="H76" s="336" t="s">
        <v>1953</v>
      </c>
      <c r="I76" s="369">
        <v>0.9</v>
      </c>
      <c r="J76" s="370">
        <v>3</v>
      </c>
      <c r="K76" s="315" t="s">
        <v>1954</v>
      </c>
      <c r="L76" s="377">
        <v>0.8</v>
      </c>
      <c r="M76" s="378">
        <v>2</v>
      </c>
      <c r="N76" s="300" t="s">
        <v>1955</v>
      </c>
      <c r="O76" s="18"/>
      <c r="P76" s="302" t="s">
        <v>1956</v>
      </c>
      <c r="Q76" s="18"/>
      <c r="R76" s="18"/>
      <c r="S76" s="18"/>
      <c r="T76" s="18"/>
      <c r="U76" s="18"/>
      <c r="V76" s="18"/>
      <c r="W76" s="18"/>
      <c r="X76" s="18"/>
      <c r="Y76" s="18"/>
      <c r="Z76" s="18"/>
      <c r="AA76" s="18"/>
      <c r="AB76" s="301"/>
    </row>
    <row r="77" spans="1:28" ht="48">
      <c r="A77" s="342" t="s">
        <v>734</v>
      </c>
      <c r="B77" s="322" t="s">
        <v>2346</v>
      </c>
      <c r="C77" s="315" t="s">
        <v>1957</v>
      </c>
      <c r="D77" s="356">
        <v>1</v>
      </c>
      <c r="E77" s="357">
        <v>4</v>
      </c>
      <c r="F77" s="336" t="s">
        <v>102</v>
      </c>
      <c r="G77" s="315"/>
      <c r="H77" s="336" t="s">
        <v>1958</v>
      </c>
      <c r="I77" s="369">
        <v>0.9</v>
      </c>
      <c r="J77" s="370">
        <v>3</v>
      </c>
      <c r="K77" s="315" t="s">
        <v>1959</v>
      </c>
      <c r="L77" s="377">
        <v>0.9</v>
      </c>
      <c r="M77" s="378">
        <v>3</v>
      </c>
      <c r="N77" s="300" t="s">
        <v>1960</v>
      </c>
      <c r="O77" s="18"/>
      <c r="P77" s="18"/>
      <c r="Q77" s="18"/>
      <c r="R77" s="18"/>
      <c r="S77" s="18"/>
      <c r="T77" s="18"/>
      <c r="U77" s="18"/>
      <c r="V77" s="18"/>
      <c r="W77" s="18"/>
      <c r="X77" s="18"/>
      <c r="Y77" s="18"/>
      <c r="Z77" s="18"/>
      <c r="AA77" s="18"/>
      <c r="AB77" s="301"/>
    </row>
    <row r="78" spans="1:28" ht="80">
      <c r="A78" s="342" t="s">
        <v>60</v>
      </c>
      <c r="B78" s="315" t="s">
        <v>2347</v>
      </c>
      <c r="C78" s="315" t="s">
        <v>2325</v>
      </c>
      <c r="D78" s="356">
        <v>1</v>
      </c>
      <c r="E78" s="357">
        <v>4</v>
      </c>
      <c r="F78" s="336" t="s">
        <v>102</v>
      </c>
      <c r="G78" s="315"/>
      <c r="H78" s="336" t="s">
        <v>1961</v>
      </c>
      <c r="I78" s="369">
        <v>0.9</v>
      </c>
      <c r="J78" s="370">
        <v>3</v>
      </c>
      <c r="K78" s="315" t="s">
        <v>1959</v>
      </c>
      <c r="L78" s="377">
        <v>0.9</v>
      </c>
      <c r="M78" s="378">
        <v>3</v>
      </c>
      <c r="N78" s="300" t="s">
        <v>1962</v>
      </c>
      <c r="O78" s="18"/>
      <c r="P78" s="18"/>
      <c r="Q78" s="18"/>
      <c r="R78" s="18"/>
      <c r="S78" s="18"/>
      <c r="T78" s="18"/>
      <c r="U78" s="18"/>
      <c r="V78" s="18"/>
      <c r="W78" s="18"/>
      <c r="X78" s="18"/>
      <c r="Y78" s="18"/>
      <c r="Z78" s="18"/>
      <c r="AA78" s="18"/>
      <c r="AB78" s="301"/>
    </row>
    <row r="79" spans="1:28" ht="64">
      <c r="A79" s="342" t="s">
        <v>735</v>
      </c>
      <c r="B79" s="323" t="s">
        <v>2240</v>
      </c>
      <c r="C79" s="315" t="s">
        <v>1963</v>
      </c>
      <c r="D79" s="356">
        <v>3</v>
      </c>
      <c r="E79" s="357">
        <v>2</v>
      </c>
      <c r="F79" s="336" t="s">
        <v>1738</v>
      </c>
      <c r="G79" s="315"/>
      <c r="H79" s="336" t="s">
        <v>1964</v>
      </c>
      <c r="I79" s="369">
        <v>0.7</v>
      </c>
      <c r="J79" s="370">
        <v>5</v>
      </c>
      <c r="K79" s="315" t="s">
        <v>1964</v>
      </c>
      <c r="L79" s="377">
        <v>0.3</v>
      </c>
      <c r="M79" s="378">
        <v>5</v>
      </c>
      <c r="N79" s="300" t="s">
        <v>1965</v>
      </c>
      <c r="O79" s="18"/>
      <c r="P79" s="18"/>
      <c r="Q79" s="18"/>
      <c r="R79" s="18"/>
      <c r="S79" s="18"/>
      <c r="T79" s="18"/>
      <c r="U79" s="18"/>
      <c r="V79" s="18"/>
      <c r="W79" s="18"/>
      <c r="X79" s="18"/>
      <c r="Y79" s="18"/>
      <c r="Z79" s="18"/>
      <c r="AA79" s="18"/>
      <c r="AB79" s="301"/>
    </row>
    <row r="80" spans="1:28" ht="16">
      <c r="A80" s="342" t="s">
        <v>232</v>
      </c>
      <c r="B80" s="323" t="s">
        <v>2240</v>
      </c>
      <c r="C80" s="315" t="s">
        <v>1619</v>
      </c>
      <c r="D80" s="356">
        <v>4</v>
      </c>
      <c r="E80" s="357">
        <v>1</v>
      </c>
      <c r="F80" s="336" t="s">
        <v>1966</v>
      </c>
      <c r="G80" s="315"/>
      <c r="H80" s="336" t="s">
        <v>1967</v>
      </c>
      <c r="I80" s="369">
        <v>0.8</v>
      </c>
      <c r="J80" s="370">
        <v>4</v>
      </c>
      <c r="K80" s="315" t="s">
        <v>1968</v>
      </c>
      <c r="L80" s="377">
        <v>0.3</v>
      </c>
      <c r="M80" s="378">
        <v>6</v>
      </c>
      <c r="N80" s="300" t="s">
        <v>1969</v>
      </c>
      <c r="O80" s="18"/>
      <c r="P80" s="18"/>
      <c r="Q80" s="18"/>
      <c r="R80" s="18"/>
      <c r="S80" s="18"/>
      <c r="T80" s="18"/>
      <c r="U80" s="18"/>
      <c r="V80" s="18"/>
      <c r="W80" s="18"/>
      <c r="X80" s="18"/>
      <c r="Y80" s="18"/>
      <c r="Z80" s="18"/>
      <c r="AA80" s="18"/>
      <c r="AB80" s="301"/>
    </row>
    <row r="81" spans="1:28" ht="48">
      <c r="A81" s="342" t="s">
        <v>1970</v>
      </c>
      <c r="B81" s="323" t="s">
        <v>2240</v>
      </c>
      <c r="C81" s="315" t="s">
        <v>1619</v>
      </c>
      <c r="D81" s="356">
        <v>4</v>
      </c>
      <c r="E81" s="357">
        <v>1</v>
      </c>
      <c r="F81" s="336" t="s">
        <v>1971</v>
      </c>
      <c r="G81" s="315" t="s">
        <v>1972</v>
      </c>
      <c r="H81" s="336" t="s">
        <v>1973</v>
      </c>
      <c r="I81" s="369">
        <v>0.6</v>
      </c>
      <c r="J81" s="370">
        <v>4</v>
      </c>
      <c r="K81" s="315" t="s">
        <v>1973</v>
      </c>
      <c r="L81" s="377">
        <v>0.6</v>
      </c>
      <c r="M81" s="378">
        <v>6</v>
      </c>
      <c r="N81" s="300" t="s">
        <v>1974</v>
      </c>
      <c r="O81" s="18"/>
      <c r="P81" s="18"/>
      <c r="Q81" s="18"/>
      <c r="R81" s="18"/>
      <c r="S81" s="18"/>
      <c r="T81" s="18"/>
      <c r="U81" s="18"/>
      <c r="V81" s="18"/>
      <c r="W81" s="18"/>
      <c r="X81" s="18"/>
      <c r="Y81" s="18"/>
      <c r="Z81" s="18"/>
      <c r="AA81" s="18"/>
      <c r="AB81" s="301"/>
    </row>
    <row r="82" spans="1:28" ht="32">
      <c r="A82" s="342" t="s">
        <v>736</v>
      </c>
      <c r="B82" s="323"/>
      <c r="C82" s="315" t="s">
        <v>1619</v>
      </c>
      <c r="D82" s="356">
        <v>4</v>
      </c>
      <c r="E82" s="357">
        <v>1</v>
      </c>
      <c r="F82" s="336" t="s">
        <v>102</v>
      </c>
      <c r="G82" s="315"/>
      <c r="H82" s="336" t="s">
        <v>1975</v>
      </c>
      <c r="I82" s="369">
        <v>0.7</v>
      </c>
      <c r="J82" s="370">
        <v>5</v>
      </c>
      <c r="K82" s="315" t="s">
        <v>1976</v>
      </c>
      <c r="L82" s="377">
        <v>0.5</v>
      </c>
      <c r="M82" s="378">
        <v>5</v>
      </c>
      <c r="N82" s="300" t="s">
        <v>1977</v>
      </c>
      <c r="O82" s="18"/>
      <c r="P82" s="18"/>
      <c r="Q82" s="18"/>
      <c r="R82" s="18"/>
      <c r="S82" s="18"/>
      <c r="T82" s="18"/>
      <c r="U82" s="18"/>
      <c r="V82" s="18"/>
      <c r="W82" s="18"/>
      <c r="X82" s="18"/>
      <c r="Y82" s="18"/>
      <c r="Z82" s="18"/>
      <c r="AA82" s="18"/>
      <c r="AB82" s="301"/>
    </row>
    <row r="83" spans="1:28" ht="32">
      <c r="A83" s="342" t="s">
        <v>737</v>
      </c>
      <c r="B83" s="323"/>
      <c r="C83" s="315" t="s">
        <v>1619</v>
      </c>
      <c r="D83" s="356">
        <v>4</v>
      </c>
      <c r="E83" s="357">
        <v>1</v>
      </c>
      <c r="F83" s="336" t="s">
        <v>102</v>
      </c>
      <c r="G83" s="315"/>
      <c r="H83" s="336" t="s">
        <v>1978</v>
      </c>
      <c r="I83" s="369">
        <v>0.7</v>
      </c>
      <c r="J83" s="370">
        <v>5</v>
      </c>
      <c r="K83" s="315" t="s">
        <v>1979</v>
      </c>
      <c r="L83" s="377">
        <v>0.5</v>
      </c>
      <c r="M83" s="378">
        <v>5</v>
      </c>
      <c r="N83" s="300" t="s">
        <v>1980</v>
      </c>
      <c r="O83" s="18"/>
      <c r="P83" s="18"/>
      <c r="Q83" s="18"/>
      <c r="R83" s="18"/>
      <c r="S83" s="18"/>
      <c r="T83" s="18"/>
      <c r="U83" s="18"/>
      <c r="V83" s="18"/>
      <c r="W83" s="18"/>
      <c r="X83" s="18"/>
      <c r="Y83" s="18"/>
      <c r="Z83" s="18"/>
      <c r="AA83" s="18"/>
      <c r="AB83" s="301"/>
    </row>
    <row r="84" spans="1:28" ht="16">
      <c r="A84" s="342" t="s">
        <v>286</v>
      </c>
      <c r="B84" s="323" t="s">
        <v>2240</v>
      </c>
      <c r="C84" s="315" t="s">
        <v>1981</v>
      </c>
      <c r="D84" s="356">
        <v>1</v>
      </c>
      <c r="E84" s="357">
        <v>4</v>
      </c>
      <c r="F84" s="336" t="s">
        <v>1982</v>
      </c>
      <c r="G84" s="337" t="s">
        <v>1983</v>
      </c>
      <c r="H84" s="336" t="s">
        <v>1984</v>
      </c>
      <c r="I84" s="369">
        <v>0.75</v>
      </c>
      <c r="J84" s="370">
        <v>3</v>
      </c>
      <c r="K84" s="315"/>
      <c r="L84" s="377">
        <v>0</v>
      </c>
      <c r="M84" s="378">
        <v>0</v>
      </c>
      <c r="N84" s="300" t="s">
        <v>1985</v>
      </c>
      <c r="O84" s="18"/>
      <c r="P84" s="18"/>
      <c r="Q84" s="18"/>
      <c r="R84" s="18"/>
      <c r="S84" s="18"/>
      <c r="T84" s="18"/>
      <c r="U84" s="18"/>
      <c r="V84" s="18"/>
      <c r="W84" s="18"/>
      <c r="X84" s="18"/>
      <c r="Y84" s="18"/>
      <c r="Z84" s="18"/>
      <c r="AA84" s="18"/>
      <c r="AB84" s="301"/>
    </row>
    <row r="85" spans="1:28" ht="32">
      <c r="A85" s="342" t="s">
        <v>738</v>
      </c>
      <c r="B85" s="322" t="s">
        <v>2348</v>
      </c>
      <c r="C85" s="315" t="s">
        <v>1986</v>
      </c>
      <c r="D85" s="356">
        <v>1</v>
      </c>
      <c r="E85" s="357">
        <v>3</v>
      </c>
      <c r="F85" s="336" t="s">
        <v>1987</v>
      </c>
      <c r="G85" s="339" t="s">
        <v>1988</v>
      </c>
      <c r="H85" s="336" t="s">
        <v>1989</v>
      </c>
      <c r="I85" s="369">
        <v>0.9</v>
      </c>
      <c r="J85" s="370">
        <v>3</v>
      </c>
      <c r="K85" s="315" t="s">
        <v>1990</v>
      </c>
      <c r="L85" s="377">
        <v>0.8</v>
      </c>
      <c r="M85" s="378">
        <v>5</v>
      </c>
      <c r="N85" s="300" t="s">
        <v>1991</v>
      </c>
      <c r="O85" s="18"/>
      <c r="P85" s="302" t="s">
        <v>1992</v>
      </c>
      <c r="Q85" s="18"/>
      <c r="R85" s="18"/>
      <c r="S85" s="18"/>
      <c r="T85" s="18"/>
      <c r="U85" s="18"/>
      <c r="V85" s="18"/>
      <c r="W85" s="18"/>
      <c r="X85" s="18"/>
      <c r="Y85" s="18"/>
      <c r="Z85" s="18"/>
      <c r="AA85" s="18"/>
      <c r="AB85" s="301"/>
    </row>
    <row r="86" spans="1:28" ht="80">
      <c r="A86" s="342" t="s">
        <v>739</v>
      </c>
      <c r="B86" s="322" t="s">
        <v>2349</v>
      </c>
      <c r="C86" s="315" t="s">
        <v>1993</v>
      </c>
      <c r="D86" s="356">
        <v>2</v>
      </c>
      <c r="E86" s="357">
        <v>4</v>
      </c>
      <c r="F86" s="336" t="s">
        <v>1994</v>
      </c>
      <c r="G86" s="315" t="s">
        <v>1758</v>
      </c>
      <c r="H86" s="336" t="s">
        <v>1995</v>
      </c>
      <c r="I86" s="369">
        <v>0.9</v>
      </c>
      <c r="J86" s="370">
        <v>3</v>
      </c>
      <c r="K86" s="315" t="s">
        <v>1996</v>
      </c>
      <c r="L86" s="377">
        <v>0.8</v>
      </c>
      <c r="M86" s="378">
        <v>3</v>
      </c>
      <c r="N86" s="300" t="s">
        <v>1997</v>
      </c>
      <c r="O86" s="18"/>
      <c r="P86" s="302" t="s">
        <v>1998</v>
      </c>
      <c r="Q86" s="18"/>
      <c r="R86" s="18"/>
      <c r="S86" s="18"/>
      <c r="T86" s="18"/>
      <c r="U86" s="18"/>
      <c r="V86" s="18"/>
      <c r="W86" s="18"/>
      <c r="X86" s="18"/>
      <c r="Y86" s="18"/>
      <c r="Z86" s="18"/>
      <c r="AA86" s="18"/>
      <c r="AB86" s="301"/>
    </row>
    <row r="87" spans="1:28" ht="80">
      <c r="A87" s="342" t="s">
        <v>249</v>
      </c>
      <c r="B87" s="315" t="s">
        <v>2352</v>
      </c>
      <c r="C87" s="315" t="s">
        <v>2242</v>
      </c>
      <c r="D87" s="356">
        <v>2</v>
      </c>
      <c r="E87" s="357">
        <v>4</v>
      </c>
      <c r="F87" s="336" t="s">
        <v>2262</v>
      </c>
      <c r="G87" s="315" t="s">
        <v>2263</v>
      </c>
      <c r="H87" s="336" t="s">
        <v>1999</v>
      </c>
      <c r="I87" s="369">
        <v>0.9</v>
      </c>
      <c r="J87" s="370">
        <v>3</v>
      </c>
      <c r="K87" s="315" t="s">
        <v>1999</v>
      </c>
      <c r="L87" s="377">
        <v>0.7</v>
      </c>
      <c r="M87" s="378">
        <v>5</v>
      </c>
      <c r="N87" s="300" t="s">
        <v>2000</v>
      </c>
      <c r="O87" s="18"/>
      <c r="P87" s="302" t="s">
        <v>2001</v>
      </c>
      <c r="Q87" s="18"/>
      <c r="R87" s="302" t="s">
        <v>2002</v>
      </c>
      <c r="S87" s="18"/>
      <c r="T87" s="18"/>
      <c r="U87" s="18"/>
      <c r="V87" s="18"/>
      <c r="W87" s="18"/>
      <c r="X87" s="18"/>
      <c r="Y87" s="18"/>
      <c r="Z87" s="18"/>
      <c r="AA87" s="18"/>
      <c r="AB87" s="301"/>
    </row>
    <row r="88" spans="1:28" ht="48">
      <c r="A88" s="342" t="s">
        <v>255</v>
      </c>
      <c r="B88" s="315" t="s">
        <v>2353</v>
      </c>
      <c r="C88" s="315" t="s">
        <v>2241</v>
      </c>
      <c r="D88" s="356">
        <v>2</v>
      </c>
      <c r="E88" s="357">
        <v>4</v>
      </c>
      <c r="F88" s="336" t="s">
        <v>2003</v>
      </c>
      <c r="G88" s="337" t="s">
        <v>2004</v>
      </c>
      <c r="H88" s="336" t="s">
        <v>2005</v>
      </c>
      <c r="I88" s="369">
        <v>0.9</v>
      </c>
      <c r="J88" s="370">
        <v>3</v>
      </c>
      <c r="K88" s="315" t="s">
        <v>2006</v>
      </c>
      <c r="L88" s="377">
        <v>0.7</v>
      </c>
      <c r="M88" s="378">
        <v>5</v>
      </c>
      <c r="N88" s="300" t="s">
        <v>2007</v>
      </c>
      <c r="O88" s="18"/>
      <c r="P88" s="302" t="s">
        <v>2008</v>
      </c>
      <c r="Q88" s="18"/>
      <c r="R88" s="302" t="s">
        <v>2009</v>
      </c>
      <c r="S88" s="18"/>
      <c r="T88" s="302" t="s">
        <v>2010</v>
      </c>
      <c r="U88" s="18"/>
      <c r="V88" s="18"/>
      <c r="W88" s="18"/>
      <c r="X88" s="18"/>
      <c r="Y88" s="18"/>
      <c r="Z88" s="18"/>
      <c r="AA88" s="18"/>
      <c r="AB88" s="301"/>
    </row>
    <row r="89" spans="1:28" ht="32">
      <c r="A89" s="342" t="s">
        <v>260</v>
      </c>
      <c r="B89" s="322" t="s">
        <v>2351</v>
      </c>
      <c r="C89" s="315" t="s">
        <v>2011</v>
      </c>
      <c r="D89" s="356">
        <v>2</v>
      </c>
      <c r="E89" s="357">
        <v>4</v>
      </c>
      <c r="F89" s="336" t="s">
        <v>102</v>
      </c>
      <c r="G89" s="315"/>
      <c r="H89" s="336" t="s">
        <v>2012</v>
      </c>
      <c r="I89" s="369">
        <v>0.9</v>
      </c>
      <c r="J89" s="370">
        <v>3</v>
      </c>
      <c r="K89" s="315" t="s">
        <v>2012</v>
      </c>
      <c r="L89" s="377">
        <v>0.8</v>
      </c>
      <c r="M89" s="378">
        <v>3</v>
      </c>
      <c r="N89" s="300" t="s">
        <v>2013</v>
      </c>
      <c r="O89" s="18"/>
      <c r="P89" s="18"/>
      <c r="Q89" s="18"/>
      <c r="R89" s="18"/>
      <c r="S89" s="18"/>
      <c r="T89" s="18"/>
      <c r="U89" s="18"/>
      <c r="V89" s="18"/>
      <c r="W89" s="18"/>
      <c r="X89" s="18"/>
      <c r="Y89" s="18"/>
      <c r="Z89" s="18"/>
      <c r="AA89" s="18"/>
      <c r="AB89" s="301"/>
    </row>
    <row r="90" spans="1:28" ht="32">
      <c r="A90" s="342" t="s">
        <v>263</v>
      </c>
      <c r="B90" s="322" t="s">
        <v>2350</v>
      </c>
      <c r="C90" s="315" t="s">
        <v>2011</v>
      </c>
      <c r="D90" s="356">
        <v>2</v>
      </c>
      <c r="E90" s="357">
        <v>4</v>
      </c>
      <c r="F90" s="336" t="s">
        <v>102</v>
      </c>
      <c r="G90" s="315"/>
      <c r="H90" s="336" t="s">
        <v>2012</v>
      </c>
      <c r="I90" s="369">
        <v>0.9</v>
      </c>
      <c r="J90" s="370">
        <v>3</v>
      </c>
      <c r="K90" s="315" t="s">
        <v>2012</v>
      </c>
      <c r="L90" s="377">
        <v>0.8</v>
      </c>
      <c r="M90" s="378">
        <v>3</v>
      </c>
      <c r="N90" s="300" t="s">
        <v>2013</v>
      </c>
      <c r="O90" s="18"/>
      <c r="P90" s="18"/>
      <c r="Q90" s="18"/>
      <c r="R90" s="18"/>
      <c r="S90" s="18"/>
      <c r="T90" s="18"/>
      <c r="U90" s="18"/>
      <c r="V90" s="18"/>
      <c r="W90" s="18"/>
      <c r="X90" s="18"/>
      <c r="Y90" s="18"/>
      <c r="Z90" s="18"/>
      <c r="AA90" s="18"/>
      <c r="AB90" s="301"/>
    </row>
    <row r="91" spans="1:28" ht="48">
      <c r="A91" s="342" t="s">
        <v>265</v>
      </c>
      <c r="B91" s="315" t="s">
        <v>2354</v>
      </c>
      <c r="C91" s="315" t="s">
        <v>2326</v>
      </c>
      <c r="D91" s="356">
        <v>3</v>
      </c>
      <c r="E91" s="357">
        <v>3</v>
      </c>
      <c r="F91" s="336" t="s">
        <v>2014</v>
      </c>
      <c r="G91" s="339" t="s">
        <v>2015</v>
      </c>
      <c r="H91" s="336" t="s">
        <v>2016</v>
      </c>
      <c r="I91" s="369">
        <v>0.9</v>
      </c>
      <c r="J91" s="370">
        <v>3</v>
      </c>
      <c r="K91" s="315" t="s">
        <v>2016</v>
      </c>
      <c r="L91" s="377">
        <v>0.7</v>
      </c>
      <c r="M91" s="378">
        <v>5</v>
      </c>
      <c r="N91" s="300" t="s">
        <v>2017</v>
      </c>
      <c r="O91" s="18"/>
      <c r="P91" s="302" t="s">
        <v>2018</v>
      </c>
      <c r="Q91" s="18"/>
      <c r="R91" s="302" t="s">
        <v>2019</v>
      </c>
      <c r="S91" s="18"/>
      <c r="T91" s="18"/>
      <c r="U91" s="18"/>
      <c r="V91" s="18"/>
      <c r="W91" s="18"/>
      <c r="X91" s="18"/>
      <c r="Y91" s="18"/>
      <c r="Z91" s="18"/>
      <c r="AA91" s="18"/>
      <c r="AB91" s="301"/>
    </row>
    <row r="92" spans="1:28" ht="144">
      <c r="A92" s="342" t="s">
        <v>740</v>
      </c>
      <c r="B92" s="315" t="s">
        <v>2356</v>
      </c>
      <c r="C92" s="315" t="s">
        <v>2243</v>
      </c>
      <c r="D92" s="356">
        <v>3</v>
      </c>
      <c r="E92" s="357">
        <v>3</v>
      </c>
      <c r="F92" s="336" t="s">
        <v>2020</v>
      </c>
      <c r="G92" s="339" t="s">
        <v>2021</v>
      </c>
      <c r="H92" s="336" t="s">
        <v>2022</v>
      </c>
      <c r="I92" s="369">
        <v>0.4</v>
      </c>
      <c r="J92" s="370">
        <v>5</v>
      </c>
      <c r="K92" s="315" t="s">
        <v>2022</v>
      </c>
      <c r="L92" s="377">
        <v>0.3</v>
      </c>
      <c r="M92" s="378">
        <v>5</v>
      </c>
      <c r="N92" s="300" t="s">
        <v>2023</v>
      </c>
      <c r="O92" s="18"/>
      <c r="P92" s="302" t="s">
        <v>2024</v>
      </c>
      <c r="Q92" s="18"/>
      <c r="R92" s="18"/>
      <c r="S92" s="18"/>
      <c r="T92" s="18"/>
      <c r="U92" s="18"/>
      <c r="V92" s="18"/>
      <c r="W92" s="18"/>
      <c r="X92" s="18"/>
      <c r="Y92" s="18"/>
      <c r="Z92" s="18"/>
      <c r="AA92" s="18"/>
      <c r="AB92" s="301"/>
    </row>
    <row r="93" spans="1:28" ht="32">
      <c r="A93" s="342" t="s">
        <v>741</v>
      </c>
      <c r="B93" s="322" t="s">
        <v>2355</v>
      </c>
      <c r="C93" s="315" t="s">
        <v>2025</v>
      </c>
      <c r="D93" s="356">
        <v>3</v>
      </c>
      <c r="E93" s="357">
        <v>3</v>
      </c>
      <c r="F93" s="336" t="s">
        <v>2026</v>
      </c>
      <c r="G93" s="315"/>
      <c r="H93" s="336" t="s">
        <v>2027</v>
      </c>
      <c r="I93" s="369">
        <v>0.9</v>
      </c>
      <c r="J93" s="370">
        <v>3</v>
      </c>
      <c r="K93" s="315" t="s">
        <v>2027</v>
      </c>
      <c r="L93" s="377">
        <v>0.8</v>
      </c>
      <c r="M93" s="378">
        <v>3</v>
      </c>
      <c r="N93" s="300" t="s">
        <v>2028</v>
      </c>
      <c r="O93" s="18"/>
      <c r="P93" s="302" t="s">
        <v>2029</v>
      </c>
      <c r="Q93" s="18"/>
      <c r="R93" s="18"/>
      <c r="S93" s="18"/>
      <c r="T93" s="18"/>
      <c r="U93" s="18"/>
      <c r="V93" s="18"/>
      <c r="W93" s="18"/>
      <c r="X93" s="18"/>
      <c r="Y93" s="18"/>
      <c r="Z93" s="18"/>
      <c r="AA93" s="18"/>
      <c r="AB93" s="301"/>
    </row>
    <row r="94" spans="1:28" ht="96">
      <c r="A94" s="342" t="s">
        <v>61</v>
      </c>
      <c r="B94" s="315" t="s">
        <v>2327</v>
      </c>
      <c r="C94" s="315" t="s">
        <v>2328</v>
      </c>
      <c r="D94" s="356">
        <v>1</v>
      </c>
      <c r="E94" s="357">
        <v>4</v>
      </c>
      <c r="F94" s="336" t="s">
        <v>2030</v>
      </c>
      <c r="G94" s="315" t="s">
        <v>2257</v>
      </c>
      <c r="H94" s="336" t="s">
        <v>2031</v>
      </c>
      <c r="I94" s="369">
        <v>0.9</v>
      </c>
      <c r="J94" s="370">
        <v>1</v>
      </c>
      <c r="K94" s="315" t="s">
        <v>2031</v>
      </c>
      <c r="L94" s="377">
        <v>0.8</v>
      </c>
      <c r="M94" s="378">
        <v>2</v>
      </c>
      <c r="N94" s="300" t="s">
        <v>2032</v>
      </c>
      <c r="O94" s="18"/>
      <c r="P94" s="18"/>
      <c r="Q94" s="18"/>
      <c r="R94" s="18"/>
      <c r="S94" s="18"/>
      <c r="T94" s="18"/>
      <c r="U94" s="18"/>
      <c r="V94" s="18"/>
      <c r="W94" s="18"/>
      <c r="X94" s="18"/>
      <c r="Y94" s="18"/>
      <c r="Z94" s="18"/>
      <c r="AA94" s="18"/>
      <c r="AB94" s="301"/>
    </row>
    <row r="95" spans="1:28" ht="32">
      <c r="A95" s="342" t="s">
        <v>231</v>
      </c>
      <c r="B95" s="322" t="s">
        <v>2357</v>
      </c>
      <c r="C95" s="315" t="s">
        <v>2033</v>
      </c>
      <c r="D95" s="356">
        <v>1</v>
      </c>
      <c r="E95" s="357">
        <v>3</v>
      </c>
      <c r="F95" s="336" t="s">
        <v>2026</v>
      </c>
      <c r="G95" s="315"/>
      <c r="H95" s="336" t="s">
        <v>2034</v>
      </c>
      <c r="I95" s="369">
        <v>0.9</v>
      </c>
      <c r="J95" s="370">
        <v>1</v>
      </c>
      <c r="K95" s="315" t="s">
        <v>2034</v>
      </c>
      <c r="L95" s="377">
        <v>0.8</v>
      </c>
      <c r="M95" s="378">
        <v>2</v>
      </c>
      <c r="N95" s="300" t="s">
        <v>2035</v>
      </c>
      <c r="O95" s="18"/>
      <c r="P95" s="302" t="s">
        <v>2036</v>
      </c>
      <c r="Q95" s="18"/>
      <c r="R95" s="18"/>
      <c r="S95" s="18"/>
      <c r="T95" s="18"/>
      <c r="U95" s="18"/>
      <c r="V95" s="18"/>
      <c r="W95" s="18"/>
      <c r="X95" s="18"/>
      <c r="Y95" s="18"/>
      <c r="Z95" s="18"/>
      <c r="AA95" s="18"/>
      <c r="AB95" s="301"/>
    </row>
    <row r="96" spans="1:28" ht="48">
      <c r="A96" s="342" t="s">
        <v>243</v>
      </c>
      <c r="B96" s="322" t="s">
        <v>2358</v>
      </c>
      <c r="C96" s="315" t="s">
        <v>2037</v>
      </c>
      <c r="D96" s="356">
        <v>3</v>
      </c>
      <c r="E96" s="357">
        <v>2</v>
      </c>
      <c r="F96" s="336" t="s">
        <v>102</v>
      </c>
      <c r="G96" s="315"/>
      <c r="H96" s="336" t="s">
        <v>2038</v>
      </c>
      <c r="I96" s="369">
        <v>0.75</v>
      </c>
      <c r="J96" s="370">
        <v>3</v>
      </c>
      <c r="K96" s="315" t="s">
        <v>2039</v>
      </c>
      <c r="L96" s="377">
        <v>0.75</v>
      </c>
      <c r="M96" s="378">
        <v>5</v>
      </c>
      <c r="N96" s="300" t="s">
        <v>2040</v>
      </c>
      <c r="O96" s="18"/>
      <c r="P96" s="18"/>
      <c r="Q96" s="18"/>
      <c r="R96" s="18"/>
      <c r="S96" s="18"/>
      <c r="T96" s="18"/>
      <c r="U96" s="18"/>
      <c r="V96" s="18"/>
      <c r="W96" s="18"/>
      <c r="X96" s="18"/>
      <c r="Y96" s="18"/>
      <c r="Z96" s="18"/>
      <c r="AA96" s="18"/>
      <c r="AB96" s="301"/>
    </row>
    <row r="97" spans="1:28" ht="16">
      <c r="A97" s="342" t="s">
        <v>246</v>
      </c>
      <c r="B97" s="326" t="s">
        <v>2240</v>
      </c>
      <c r="C97" s="315" t="s">
        <v>2041</v>
      </c>
      <c r="D97" s="356">
        <v>3</v>
      </c>
      <c r="E97" s="357">
        <v>3</v>
      </c>
      <c r="F97" s="336" t="s">
        <v>2042</v>
      </c>
      <c r="G97" s="315"/>
      <c r="H97" s="336" t="s">
        <v>2043</v>
      </c>
      <c r="I97" s="369">
        <v>0.5</v>
      </c>
      <c r="J97" s="370">
        <v>3</v>
      </c>
      <c r="K97" s="315" t="s">
        <v>2043</v>
      </c>
      <c r="L97" s="377">
        <v>0.2</v>
      </c>
      <c r="M97" s="378">
        <v>4</v>
      </c>
      <c r="N97" s="300" t="s">
        <v>2044</v>
      </c>
      <c r="O97" s="18"/>
      <c r="P97" s="302" t="s">
        <v>2045</v>
      </c>
      <c r="Q97" s="18"/>
      <c r="R97" s="18"/>
      <c r="S97" s="18"/>
      <c r="T97" s="18"/>
      <c r="U97" s="18"/>
      <c r="V97" s="18"/>
      <c r="W97" s="18"/>
      <c r="X97" s="18"/>
      <c r="Y97" s="18"/>
      <c r="Z97" s="18"/>
      <c r="AA97" s="18"/>
      <c r="AB97" s="301"/>
    </row>
    <row r="98" spans="1:28" ht="80">
      <c r="A98" s="342" t="s">
        <v>62</v>
      </c>
      <c r="B98" s="326" t="s">
        <v>2240</v>
      </c>
      <c r="C98" s="315" t="s">
        <v>2046</v>
      </c>
      <c r="D98" s="356">
        <v>3</v>
      </c>
      <c r="E98" s="357">
        <v>4</v>
      </c>
      <c r="F98" s="336" t="s">
        <v>2047</v>
      </c>
      <c r="G98" s="315" t="s">
        <v>2048</v>
      </c>
      <c r="H98" s="336" t="s">
        <v>2049</v>
      </c>
      <c r="I98" s="369">
        <v>0.8</v>
      </c>
      <c r="J98" s="370">
        <v>5</v>
      </c>
      <c r="K98" s="315" t="s">
        <v>2050</v>
      </c>
      <c r="L98" s="377">
        <v>0.5</v>
      </c>
      <c r="M98" s="378">
        <v>5</v>
      </c>
      <c r="N98" s="300" t="s">
        <v>2051</v>
      </c>
      <c r="O98" s="18"/>
      <c r="P98" s="18"/>
      <c r="Q98" s="18"/>
      <c r="R98" s="18"/>
      <c r="S98" s="18"/>
      <c r="T98" s="18"/>
      <c r="U98" s="18"/>
      <c r="V98" s="18"/>
      <c r="W98" s="18"/>
      <c r="X98" s="18"/>
      <c r="Y98" s="18"/>
      <c r="Z98" s="18"/>
      <c r="AA98" s="18"/>
      <c r="AB98" s="301"/>
    </row>
    <row r="99" spans="1:28" ht="32">
      <c r="A99" s="347" t="s">
        <v>2052</v>
      </c>
      <c r="B99" s="326" t="s">
        <v>2240</v>
      </c>
      <c r="C99" s="315" t="s">
        <v>1619</v>
      </c>
      <c r="D99" s="356">
        <v>3</v>
      </c>
      <c r="E99" s="357">
        <v>4</v>
      </c>
      <c r="F99" s="336" t="s">
        <v>2053</v>
      </c>
      <c r="G99" s="315" t="s">
        <v>1758</v>
      </c>
      <c r="H99" s="344" t="s">
        <v>2054</v>
      </c>
      <c r="I99" s="369">
        <v>0.6</v>
      </c>
      <c r="J99" s="370">
        <v>5</v>
      </c>
      <c r="K99" s="315" t="s">
        <v>2055</v>
      </c>
      <c r="L99" s="377">
        <v>0.3</v>
      </c>
      <c r="M99" s="378">
        <v>5</v>
      </c>
      <c r="N99" s="300" t="s">
        <v>2056</v>
      </c>
      <c r="O99" s="18"/>
      <c r="P99" s="18"/>
      <c r="Q99" s="18"/>
      <c r="R99" s="18"/>
      <c r="S99" s="18"/>
      <c r="T99" s="18"/>
      <c r="U99" s="18"/>
      <c r="V99" s="18"/>
      <c r="W99" s="18"/>
      <c r="X99" s="18"/>
      <c r="Y99" s="18"/>
      <c r="Z99" s="18"/>
      <c r="AA99" s="18"/>
      <c r="AB99" s="301"/>
    </row>
    <row r="100" spans="1:28" ht="64">
      <c r="A100" s="342" t="s">
        <v>742</v>
      </c>
      <c r="B100" s="323"/>
      <c r="C100" s="315" t="s">
        <v>2057</v>
      </c>
      <c r="D100" s="356">
        <v>2</v>
      </c>
      <c r="E100" s="357">
        <v>4</v>
      </c>
      <c r="F100" s="336" t="s">
        <v>2058</v>
      </c>
      <c r="G100" s="339" t="s">
        <v>2059</v>
      </c>
      <c r="H100" s="336" t="s">
        <v>2060</v>
      </c>
      <c r="I100" s="369">
        <v>0.9</v>
      </c>
      <c r="J100" s="370">
        <v>3</v>
      </c>
      <c r="K100" s="315" t="s">
        <v>2060</v>
      </c>
      <c r="L100" s="377">
        <v>0.8</v>
      </c>
      <c r="M100" s="378">
        <v>5</v>
      </c>
      <c r="N100" s="300" t="s">
        <v>2061</v>
      </c>
      <c r="O100" s="18"/>
      <c r="P100" s="302" t="s">
        <v>1844</v>
      </c>
      <c r="Q100" s="18"/>
      <c r="R100" s="18" t="s">
        <v>2062</v>
      </c>
      <c r="S100" s="18"/>
      <c r="T100" s="18"/>
      <c r="U100" s="18"/>
      <c r="V100" s="18"/>
      <c r="W100" s="18"/>
      <c r="X100" s="18"/>
      <c r="Y100" s="18"/>
      <c r="Z100" s="18"/>
      <c r="AA100" s="18"/>
      <c r="AB100" s="301"/>
    </row>
    <row r="101" spans="1:28" ht="64">
      <c r="A101" s="342" t="s">
        <v>268</v>
      </c>
      <c r="B101" s="315" t="s">
        <v>2245</v>
      </c>
      <c r="C101" s="315" t="s">
        <v>2244</v>
      </c>
      <c r="D101" s="356" t="s">
        <v>2063</v>
      </c>
      <c r="E101" s="359" t="s">
        <v>2064</v>
      </c>
      <c r="F101" s="336" t="s">
        <v>1751</v>
      </c>
      <c r="G101" s="337" t="s">
        <v>1752</v>
      </c>
      <c r="H101" s="336" t="s">
        <v>2065</v>
      </c>
      <c r="I101" s="369">
        <v>0.9</v>
      </c>
      <c r="J101" s="370">
        <v>3</v>
      </c>
      <c r="K101" s="315" t="s">
        <v>2066</v>
      </c>
      <c r="L101" s="377">
        <v>0.8</v>
      </c>
      <c r="M101" s="378">
        <v>2</v>
      </c>
      <c r="N101" s="300" t="s">
        <v>2067</v>
      </c>
      <c r="O101" s="18"/>
      <c r="P101" s="302" t="s">
        <v>1756</v>
      </c>
      <c r="Q101" s="18"/>
      <c r="R101" s="302" t="s">
        <v>2068</v>
      </c>
      <c r="S101" s="18"/>
      <c r="T101" s="18"/>
      <c r="U101" s="18"/>
      <c r="V101" s="18"/>
      <c r="W101" s="18"/>
      <c r="X101" s="18"/>
      <c r="Y101" s="18"/>
      <c r="Z101" s="18"/>
      <c r="AA101" s="18"/>
      <c r="AB101" s="301"/>
    </row>
    <row r="102" spans="1:28" ht="64">
      <c r="A102" s="342" t="s">
        <v>743</v>
      </c>
      <c r="B102" s="315" t="s">
        <v>2329</v>
      </c>
      <c r="C102" s="315" t="s">
        <v>2246</v>
      </c>
      <c r="D102" s="356">
        <v>1</v>
      </c>
      <c r="E102" s="357">
        <v>4</v>
      </c>
      <c r="F102" s="336" t="s">
        <v>2069</v>
      </c>
      <c r="G102" s="339" t="s">
        <v>1630</v>
      </c>
      <c r="H102" s="336" t="s">
        <v>2070</v>
      </c>
      <c r="I102" s="369">
        <v>0.9</v>
      </c>
      <c r="J102" s="370">
        <v>3</v>
      </c>
      <c r="K102" s="315" t="s">
        <v>2071</v>
      </c>
      <c r="L102" s="377">
        <v>0.8</v>
      </c>
      <c r="M102" s="378">
        <v>3</v>
      </c>
      <c r="N102" s="300" t="s">
        <v>2072</v>
      </c>
      <c r="O102" s="18"/>
      <c r="P102" s="18"/>
      <c r="Q102" s="18"/>
      <c r="R102" s="18"/>
      <c r="S102" s="18"/>
      <c r="T102" s="18"/>
      <c r="U102" s="18"/>
      <c r="V102" s="18"/>
      <c r="W102" s="18"/>
      <c r="X102" s="18"/>
      <c r="Y102" s="18"/>
      <c r="Z102" s="18"/>
      <c r="AA102" s="18"/>
      <c r="AB102" s="301"/>
    </row>
    <row r="103" spans="1:28" ht="80">
      <c r="A103" s="342" t="s">
        <v>251</v>
      </c>
      <c r="B103" s="323" t="s">
        <v>2240</v>
      </c>
      <c r="C103" s="315" t="s">
        <v>1619</v>
      </c>
      <c r="D103" s="356">
        <v>3</v>
      </c>
      <c r="E103" s="357">
        <v>1</v>
      </c>
      <c r="F103" s="336" t="s">
        <v>2073</v>
      </c>
      <c r="G103" s="315" t="s">
        <v>2074</v>
      </c>
      <c r="H103" s="336" t="s">
        <v>2075</v>
      </c>
      <c r="I103" s="369">
        <v>0.2</v>
      </c>
      <c r="J103" s="370">
        <v>6</v>
      </c>
      <c r="K103" s="315" t="s">
        <v>2075</v>
      </c>
      <c r="L103" s="377">
        <v>0.2</v>
      </c>
      <c r="M103" s="378">
        <v>6</v>
      </c>
      <c r="N103" s="300" t="s">
        <v>2076</v>
      </c>
      <c r="O103" s="18"/>
      <c r="P103" s="302" t="s">
        <v>2077</v>
      </c>
      <c r="Q103" s="18"/>
      <c r="R103" s="302" t="s">
        <v>2078</v>
      </c>
      <c r="S103" s="18"/>
      <c r="T103" s="18"/>
      <c r="U103" s="18"/>
      <c r="V103" s="18"/>
      <c r="W103" s="18"/>
      <c r="X103" s="18"/>
      <c r="Y103" s="18"/>
      <c r="Z103" s="18"/>
      <c r="AA103" s="18"/>
      <c r="AB103" s="301"/>
    </row>
    <row r="104" spans="1:28" ht="48">
      <c r="A104" s="342" t="s">
        <v>256</v>
      </c>
      <c r="B104" s="323" t="s">
        <v>2247</v>
      </c>
      <c r="C104" s="315" t="s">
        <v>2248</v>
      </c>
      <c r="D104" s="356">
        <v>3</v>
      </c>
      <c r="E104" s="357">
        <v>2</v>
      </c>
      <c r="F104" s="336" t="s">
        <v>2079</v>
      </c>
      <c r="G104" s="315" t="s">
        <v>2080</v>
      </c>
      <c r="H104" s="336" t="s">
        <v>2081</v>
      </c>
      <c r="I104" s="369">
        <v>0.5</v>
      </c>
      <c r="J104" s="370">
        <v>7</v>
      </c>
      <c r="K104" s="315" t="s">
        <v>2081</v>
      </c>
      <c r="L104" s="377">
        <v>0.5</v>
      </c>
      <c r="M104" s="378">
        <v>7</v>
      </c>
      <c r="N104" s="300" t="s">
        <v>2082</v>
      </c>
      <c r="O104" s="18"/>
      <c r="P104" s="302" t="s">
        <v>2083</v>
      </c>
      <c r="Q104" s="18"/>
      <c r="R104" s="18"/>
      <c r="S104" s="18"/>
      <c r="T104" s="18"/>
      <c r="U104" s="18"/>
      <c r="V104" s="18"/>
      <c r="W104" s="18"/>
      <c r="X104" s="18"/>
      <c r="Y104" s="18"/>
      <c r="Z104" s="18"/>
      <c r="AA104" s="18"/>
      <c r="AB104" s="301"/>
    </row>
    <row r="105" spans="1:28" ht="48">
      <c r="A105" s="342" t="s">
        <v>744</v>
      </c>
      <c r="B105" s="322" t="s">
        <v>2359</v>
      </c>
      <c r="C105" s="315" t="s">
        <v>2084</v>
      </c>
      <c r="D105" s="356">
        <v>4</v>
      </c>
      <c r="E105" s="357">
        <v>2</v>
      </c>
      <c r="F105" s="336" t="s">
        <v>2085</v>
      </c>
      <c r="G105" s="339" t="s">
        <v>1873</v>
      </c>
      <c r="H105" s="336" t="s">
        <v>2086</v>
      </c>
      <c r="I105" s="369">
        <v>0.9</v>
      </c>
      <c r="J105" s="370">
        <v>3</v>
      </c>
      <c r="K105" s="315" t="s">
        <v>2086</v>
      </c>
      <c r="L105" s="377">
        <v>0.8</v>
      </c>
      <c r="M105" s="378">
        <v>5</v>
      </c>
      <c r="N105" s="300" t="s">
        <v>2087</v>
      </c>
      <c r="O105" s="18"/>
      <c r="P105" s="18"/>
      <c r="Q105" s="18"/>
      <c r="R105" s="18"/>
      <c r="S105" s="18"/>
      <c r="T105" s="18"/>
      <c r="U105" s="18"/>
      <c r="V105" s="18"/>
      <c r="W105" s="18"/>
      <c r="X105" s="18"/>
      <c r="Y105" s="18"/>
      <c r="Z105" s="18"/>
      <c r="AA105" s="18"/>
      <c r="AB105" s="301"/>
    </row>
    <row r="106" spans="1:28" ht="48">
      <c r="A106" s="342" t="s">
        <v>487</v>
      </c>
      <c r="B106" s="323"/>
      <c r="C106" s="315" t="s">
        <v>2088</v>
      </c>
      <c r="D106" s="356">
        <v>3</v>
      </c>
      <c r="E106" s="357">
        <v>2</v>
      </c>
      <c r="F106" s="336" t="s">
        <v>2089</v>
      </c>
      <c r="G106" s="315" t="s">
        <v>2090</v>
      </c>
      <c r="H106" s="336" t="s">
        <v>2091</v>
      </c>
      <c r="I106" s="369">
        <v>0.8</v>
      </c>
      <c r="J106" s="370">
        <v>5</v>
      </c>
      <c r="K106" s="315" t="s">
        <v>2091</v>
      </c>
      <c r="L106" s="377">
        <v>0.75</v>
      </c>
      <c r="M106" s="378">
        <v>7</v>
      </c>
      <c r="N106" s="300" t="s">
        <v>2092</v>
      </c>
      <c r="O106" s="18"/>
      <c r="P106" s="302" t="s">
        <v>2093</v>
      </c>
      <c r="Q106" s="18"/>
      <c r="R106" s="18"/>
      <c r="S106" s="18"/>
      <c r="T106" s="18"/>
      <c r="U106" s="18"/>
      <c r="V106" s="18"/>
      <c r="W106" s="18"/>
      <c r="X106" s="18"/>
      <c r="Y106" s="18"/>
      <c r="Z106" s="18"/>
      <c r="AA106" s="18"/>
      <c r="AB106" s="301"/>
    </row>
    <row r="107" spans="1:28" ht="48">
      <c r="A107" s="342" t="s">
        <v>254</v>
      </c>
      <c r="B107" s="323" t="s">
        <v>2240</v>
      </c>
      <c r="C107" s="315" t="s">
        <v>2094</v>
      </c>
      <c r="D107" s="356">
        <v>3</v>
      </c>
      <c r="E107" s="357">
        <v>2</v>
      </c>
      <c r="F107" s="336" t="s">
        <v>2095</v>
      </c>
      <c r="G107" s="315"/>
      <c r="H107" s="336" t="s">
        <v>2096</v>
      </c>
      <c r="I107" s="369">
        <v>0.3</v>
      </c>
      <c r="J107" s="370">
        <v>5</v>
      </c>
      <c r="K107" s="315" t="s">
        <v>2097</v>
      </c>
      <c r="L107" s="377">
        <v>0.3</v>
      </c>
      <c r="M107" s="378">
        <v>5</v>
      </c>
      <c r="N107" s="300" t="s">
        <v>2098</v>
      </c>
      <c r="O107" s="18"/>
      <c r="P107" s="302" t="s">
        <v>2099</v>
      </c>
      <c r="Q107" s="18"/>
      <c r="R107" s="302" t="s">
        <v>2100</v>
      </c>
      <c r="S107" s="18"/>
      <c r="T107" s="302" t="s">
        <v>2101</v>
      </c>
      <c r="U107" s="18"/>
      <c r="V107" s="18"/>
      <c r="W107" s="18"/>
      <c r="X107" s="18"/>
      <c r="Y107" s="18"/>
      <c r="Z107" s="18"/>
      <c r="AA107" s="18"/>
      <c r="AB107" s="301"/>
    </row>
    <row r="108" spans="1:28" ht="16">
      <c r="A108" s="342" t="s">
        <v>488</v>
      </c>
      <c r="B108" s="323"/>
      <c r="C108" s="315" t="s">
        <v>2102</v>
      </c>
      <c r="D108" s="356">
        <v>2</v>
      </c>
      <c r="E108" s="357">
        <v>3</v>
      </c>
      <c r="F108" s="336" t="s">
        <v>2103</v>
      </c>
      <c r="G108" s="315"/>
      <c r="H108" s="336" t="s">
        <v>2104</v>
      </c>
      <c r="I108" s="369">
        <v>0.5</v>
      </c>
      <c r="J108" s="370">
        <v>5</v>
      </c>
      <c r="K108" s="315" t="s">
        <v>2105</v>
      </c>
      <c r="L108" s="377">
        <v>0.2</v>
      </c>
      <c r="M108" s="378">
        <v>6</v>
      </c>
      <c r="N108" s="300"/>
      <c r="O108" s="18"/>
      <c r="P108" s="302"/>
      <c r="Q108" s="18"/>
      <c r="R108" s="302"/>
      <c r="S108" s="18"/>
      <c r="T108" s="302"/>
      <c r="U108" s="18"/>
      <c r="V108" s="18"/>
      <c r="W108" s="18"/>
      <c r="X108" s="18"/>
      <c r="Y108" s="18"/>
      <c r="Z108" s="18"/>
      <c r="AA108" s="18"/>
      <c r="AB108" s="301"/>
    </row>
    <row r="109" spans="1:28" ht="48">
      <c r="A109" s="342" t="s">
        <v>745</v>
      </c>
      <c r="B109" s="322" t="s">
        <v>2361</v>
      </c>
      <c r="C109" s="315" t="s">
        <v>2106</v>
      </c>
      <c r="D109" s="356">
        <v>3</v>
      </c>
      <c r="E109" s="357">
        <v>2</v>
      </c>
      <c r="F109" s="336" t="s">
        <v>2107</v>
      </c>
      <c r="G109" s="315" t="s">
        <v>2108</v>
      </c>
      <c r="H109" s="336" t="s">
        <v>2109</v>
      </c>
      <c r="I109" s="369">
        <v>0.8</v>
      </c>
      <c r="J109" s="370">
        <v>3</v>
      </c>
      <c r="K109" s="315" t="s">
        <v>2109</v>
      </c>
      <c r="L109" s="377">
        <v>0.75</v>
      </c>
      <c r="M109" s="378">
        <v>5</v>
      </c>
      <c r="N109" s="300" t="s">
        <v>2110</v>
      </c>
      <c r="O109" s="18"/>
      <c r="P109" s="18"/>
      <c r="Q109" s="18"/>
      <c r="R109" s="18"/>
      <c r="S109" s="18"/>
      <c r="T109" s="18"/>
      <c r="U109" s="18"/>
      <c r="V109" s="18"/>
      <c r="W109" s="18"/>
      <c r="X109" s="18"/>
      <c r="Y109" s="18"/>
      <c r="Z109" s="18"/>
      <c r="AA109" s="18"/>
      <c r="AB109" s="301"/>
    </row>
    <row r="110" spans="1:28" ht="64">
      <c r="A110" s="342" t="s">
        <v>746</v>
      </c>
      <c r="B110" s="323"/>
      <c r="C110" s="315" t="s">
        <v>2111</v>
      </c>
      <c r="D110" s="356">
        <v>3</v>
      </c>
      <c r="E110" s="357">
        <v>2</v>
      </c>
      <c r="F110" s="336" t="s">
        <v>2112</v>
      </c>
      <c r="G110" s="315"/>
      <c r="H110" s="336" t="s">
        <v>2113</v>
      </c>
      <c r="I110" s="369">
        <v>0.8</v>
      </c>
      <c r="J110" s="370">
        <v>5</v>
      </c>
      <c r="K110" s="315" t="s">
        <v>2113</v>
      </c>
      <c r="L110" s="377">
        <v>0.75</v>
      </c>
      <c r="M110" s="378">
        <v>5</v>
      </c>
      <c r="N110" s="300" t="s">
        <v>2114</v>
      </c>
      <c r="O110" s="18"/>
      <c r="P110" s="18"/>
      <c r="Q110" s="18"/>
      <c r="R110" s="18"/>
      <c r="S110" s="18"/>
      <c r="T110" s="18"/>
      <c r="U110" s="18"/>
      <c r="V110" s="18"/>
      <c r="W110" s="18"/>
      <c r="X110" s="18"/>
      <c r="Y110" s="18"/>
      <c r="Z110" s="18"/>
      <c r="AA110" s="18"/>
      <c r="AB110" s="301"/>
    </row>
    <row r="111" spans="1:28" ht="48">
      <c r="A111" s="342" t="s">
        <v>489</v>
      </c>
      <c r="B111" s="322" t="s">
        <v>2360</v>
      </c>
      <c r="C111" s="315" t="s">
        <v>2105</v>
      </c>
      <c r="D111" s="356">
        <v>4</v>
      </c>
      <c r="E111" s="357">
        <v>2</v>
      </c>
      <c r="F111" s="336" t="s">
        <v>2115</v>
      </c>
      <c r="G111" s="315"/>
      <c r="H111" s="336" t="s">
        <v>2116</v>
      </c>
      <c r="I111" s="369">
        <v>0.8</v>
      </c>
      <c r="J111" s="370">
        <v>3</v>
      </c>
      <c r="K111" s="315" t="s">
        <v>2116</v>
      </c>
      <c r="L111" s="377">
        <v>0.75</v>
      </c>
      <c r="M111" s="378">
        <v>3</v>
      </c>
      <c r="N111" s="300" t="s">
        <v>2117</v>
      </c>
      <c r="O111" s="18"/>
      <c r="P111" s="18"/>
      <c r="Q111" s="18"/>
      <c r="R111" s="18"/>
      <c r="S111" s="18"/>
      <c r="T111" s="18"/>
      <c r="U111" s="18"/>
      <c r="V111" s="18"/>
      <c r="W111" s="18"/>
      <c r="X111" s="18"/>
      <c r="Y111" s="18"/>
      <c r="Z111" s="18"/>
      <c r="AA111" s="18"/>
      <c r="AB111" s="301"/>
    </row>
    <row r="112" spans="1:28" ht="16">
      <c r="A112" s="342" t="s">
        <v>247</v>
      </c>
      <c r="B112" s="323"/>
      <c r="C112" s="315" t="s">
        <v>1619</v>
      </c>
      <c r="D112" s="356">
        <v>4</v>
      </c>
      <c r="E112" s="357">
        <v>1</v>
      </c>
      <c r="F112" s="336" t="s">
        <v>102</v>
      </c>
      <c r="G112" s="315"/>
      <c r="H112" s="336" t="s">
        <v>1723</v>
      </c>
      <c r="I112" s="369">
        <v>0.6</v>
      </c>
      <c r="J112" s="370">
        <v>5</v>
      </c>
      <c r="K112" s="315" t="s">
        <v>1849</v>
      </c>
      <c r="L112" s="377">
        <v>0.8</v>
      </c>
      <c r="M112" s="378">
        <v>7</v>
      </c>
      <c r="N112" s="300" t="s">
        <v>2118</v>
      </c>
      <c r="O112" s="18"/>
      <c r="P112" s="18"/>
      <c r="Q112" s="18"/>
      <c r="R112" s="18"/>
      <c r="S112" s="18"/>
      <c r="T112" s="18"/>
      <c r="U112" s="18"/>
      <c r="V112" s="18"/>
      <c r="W112" s="18"/>
      <c r="X112" s="18"/>
      <c r="Y112" s="18"/>
      <c r="Z112" s="18"/>
      <c r="AA112" s="18"/>
      <c r="AB112" s="301"/>
    </row>
    <row r="113" spans="1:28" ht="16">
      <c r="A113" s="342" t="s">
        <v>250</v>
      </c>
      <c r="B113" s="323"/>
      <c r="C113" s="315" t="s">
        <v>1619</v>
      </c>
      <c r="D113" s="356">
        <v>4</v>
      </c>
      <c r="E113" s="357">
        <v>1</v>
      </c>
      <c r="F113" s="336" t="s">
        <v>102</v>
      </c>
      <c r="G113" s="315"/>
      <c r="H113" s="336" t="s">
        <v>1723</v>
      </c>
      <c r="I113" s="369">
        <v>0.6</v>
      </c>
      <c r="J113" s="370">
        <v>5</v>
      </c>
      <c r="K113" s="315" t="s">
        <v>1849</v>
      </c>
      <c r="L113" s="377">
        <v>0.8</v>
      </c>
      <c r="M113" s="378">
        <v>7</v>
      </c>
      <c r="N113" s="300" t="s">
        <v>2118</v>
      </c>
      <c r="O113" s="18"/>
      <c r="P113" s="18"/>
      <c r="Q113" s="18"/>
      <c r="R113" s="18"/>
      <c r="S113" s="18"/>
      <c r="T113" s="18"/>
      <c r="U113" s="18"/>
      <c r="V113" s="18"/>
      <c r="W113" s="18"/>
      <c r="X113" s="18"/>
      <c r="Y113" s="18"/>
      <c r="Z113" s="18"/>
      <c r="AA113" s="18"/>
      <c r="AB113" s="301"/>
    </row>
    <row r="114" spans="1:28" ht="32">
      <c r="A114" s="342" t="s">
        <v>257</v>
      </c>
      <c r="B114" s="323"/>
      <c r="C114" s="315" t="s">
        <v>1619</v>
      </c>
      <c r="D114" s="356">
        <v>4</v>
      </c>
      <c r="E114" s="357">
        <v>1</v>
      </c>
      <c r="F114" s="336" t="s">
        <v>102</v>
      </c>
      <c r="G114" s="315"/>
      <c r="H114" s="336" t="s">
        <v>2119</v>
      </c>
      <c r="I114" s="369">
        <v>0.5</v>
      </c>
      <c r="J114" s="370">
        <v>5</v>
      </c>
      <c r="K114" s="315" t="s">
        <v>2120</v>
      </c>
      <c r="L114" s="377">
        <v>0.4</v>
      </c>
      <c r="M114" s="378">
        <v>7</v>
      </c>
      <c r="N114" s="300" t="s">
        <v>2121</v>
      </c>
      <c r="O114" s="18"/>
      <c r="P114" s="18"/>
      <c r="Q114" s="18"/>
      <c r="R114" s="18"/>
      <c r="S114" s="18"/>
      <c r="T114" s="18"/>
      <c r="U114" s="18"/>
      <c r="V114" s="18"/>
      <c r="W114" s="18"/>
      <c r="X114" s="18"/>
      <c r="Y114" s="18"/>
      <c r="Z114" s="18"/>
      <c r="AA114" s="18"/>
      <c r="AB114" s="301"/>
    </row>
    <row r="115" spans="1:28" ht="128">
      <c r="A115" s="342" t="s">
        <v>747</v>
      </c>
      <c r="B115" s="322" t="s">
        <v>2362</v>
      </c>
      <c r="C115" s="315" t="s">
        <v>2122</v>
      </c>
      <c r="D115" s="356">
        <v>2</v>
      </c>
      <c r="E115" s="357">
        <v>4</v>
      </c>
      <c r="F115" s="336" t="s">
        <v>2112</v>
      </c>
      <c r="G115" s="315"/>
      <c r="H115" s="336" t="s">
        <v>2123</v>
      </c>
      <c r="I115" s="369">
        <v>0.9</v>
      </c>
      <c r="J115" s="370">
        <v>3</v>
      </c>
      <c r="K115" s="315" t="s">
        <v>2123</v>
      </c>
      <c r="L115" s="377">
        <v>0.8</v>
      </c>
      <c r="M115" s="378">
        <v>5</v>
      </c>
      <c r="N115" s="300" t="s">
        <v>2124</v>
      </c>
      <c r="O115" s="18"/>
      <c r="P115" s="18"/>
      <c r="Q115" s="18"/>
      <c r="R115" s="18"/>
      <c r="S115" s="18"/>
      <c r="T115" s="18"/>
      <c r="U115" s="18"/>
      <c r="V115" s="18"/>
      <c r="W115" s="18"/>
      <c r="X115" s="18"/>
      <c r="Y115" s="18"/>
      <c r="Z115" s="18"/>
      <c r="AA115" s="18"/>
      <c r="AB115" s="301"/>
    </row>
    <row r="116" spans="1:28" ht="16">
      <c r="A116" s="342" t="s">
        <v>2125</v>
      </c>
      <c r="B116" s="323" t="s">
        <v>2240</v>
      </c>
      <c r="C116" s="315" t="s">
        <v>2126</v>
      </c>
      <c r="D116" s="356">
        <v>3</v>
      </c>
      <c r="E116" s="357">
        <v>1</v>
      </c>
      <c r="F116" s="336" t="s">
        <v>2127</v>
      </c>
      <c r="G116" s="315"/>
      <c r="H116" s="336" t="s">
        <v>2128</v>
      </c>
      <c r="I116" s="369">
        <v>0.4</v>
      </c>
      <c r="J116" s="370">
        <v>5</v>
      </c>
      <c r="K116" s="315" t="s">
        <v>2128</v>
      </c>
      <c r="L116" s="377">
        <v>0.2</v>
      </c>
      <c r="M116" s="378">
        <v>5</v>
      </c>
      <c r="N116" s="300" t="s">
        <v>2129</v>
      </c>
      <c r="O116" s="18"/>
      <c r="P116" s="302" t="s">
        <v>2130</v>
      </c>
      <c r="Q116" s="18"/>
      <c r="R116" s="18"/>
      <c r="S116" s="18"/>
      <c r="T116" s="18"/>
      <c r="U116" s="18"/>
      <c r="V116" s="18"/>
      <c r="W116" s="18"/>
      <c r="X116" s="18"/>
      <c r="Y116" s="18"/>
      <c r="Z116" s="18"/>
      <c r="AA116" s="18"/>
      <c r="AB116" s="301"/>
    </row>
    <row r="117" spans="1:28" ht="32">
      <c r="A117" s="342" t="s">
        <v>221</v>
      </c>
      <c r="B117" s="322" t="s">
        <v>2363</v>
      </c>
      <c r="C117" s="315" t="s">
        <v>2131</v>
      </c>
      <c r="D117" s="356">
        <v>1</v>
      </c>
      <c r="E117" s="357">
        <v>4</v>
      </c>
      <c r="F117" s="336" t="s">
        <v>2132</v>
      </c>
      <c r="G117" s="315" t="s">
        <v>2133</v>
      </c>
      <c r="H117" s="336" t="s">
        <v>2134</v>
      </c>
      <c r="I117" s="369">
        <v>0.9</v>
      </c>
      <c r="J117" s="370">
        <v>3</v>
      </c>
      <c r="K117" s="315" t="s">
        <v>2134</v>
      </c>
      <c r="L117" s="377">
        <v>0.9</v>
      </c>
      <c r="M117" s="378">
        <v>1</v>
      </c>
      <c r="N117" s="300" t="s">
        <v>2135</v>
      </c>
      <c r="O117" s="18"/>
      <c r="P117" s="18"/>
      <c r="Q117" s="18"/>
      <c r="R117" s="18"/>
      <c r="S117" s="18"/>
      <c r="T117" s="18"/>
      <c r="U117" s="18"/>
      <c r="V117" s="18"/>
      <c r="W117" s="18"/>
      <c r="X117" s="18"/>
      <c r="Y117" s="18"/>
      <c r="Z117" s="18"/>
      <c r="AA117" s="18"/>
      <c r="AB117" s="301"/>
    </row>
    <row r="118" spans="1:28" ht="48">
      <c r="A118" s="342" t="s">
        <v>229</v>
      </c>
      <c r="B118" s="322" t="s">
        <v>2364</v>
      </c>
      <c r="C118" s="315" t="s">
        <v>2136</v>
      </c>
      <c r="D118" s="356">
        <v>1</v>
      </c>
      <c r="E118" s="357">
        <v>4</v>
      </c>
      <c r="F118" s="336" t="s">
        <v>2137</v>
      </c>
      <c r="G118" s="315" t="s">
        <v>2138</v>
      </c>
      <c r="H118" s="336" t="s">
        <v>2139</v>
      </c>
      <c r="I118" s="369">
        <v>0.9</v>
      </c>
      <c r="J118" s="370">
        <v>1</v>
      </c>
      <c r="K118" s="315" t="s">
        <v>2139</v>
      </c>
      <c r="L118" s="377">
        <v>0.9</v>
      </c>
      <c r="M118" s="378">
        <v>1</v>
      </c>
      <c r="N118" s="300" t="s">
        <v>2140</v>
      </c>
      <c r="O118" s="18"/>
      <c r="P118" s="302" t="s">
        <v>2141</v>
      </c>
      <c r="Q118" s="18"/>
      <c r="R118" s="302" t="s">
        <v>2142</v>
      </c>
      <c r="S118" s="18"/>
      <c r="T118" s="18"/>
      <c r="U118" s="18"/>
      <c r="V118" s="18"/>
      <c r="W118" s="18"/>
      <c r="X118" s="18"/>
      <c r="Y118" s="18"/>
      <c r="Z118" s="18"/>
      <c r="AA118" s="18"/>
      <c r="AB118" s="301"/>
    </row>
    <row r="119" spans="1:28" ht="32">
      <c r="A119" s="342" t="s">
        <v>236</v>
      </c>
      <c r="B119" s="322" t="s">
        <v>2365</v>
      </c>
      <c r="C119" s="315" t="s">
        <v>2143</v>
      </c>
      <c r="D119" s="356">
        <v>1</v>
      </c>
      <c r="E119" s="357">
        <v>4</v>
      </c>
      <c r="F119" s="336" t="s">
        <v>2137</v>
      </c>
      <c r="G119" s="315" t="s">
        <v>2138</v>
      </c>
      <c r="H119" s="336" t="s">
        <v>2134</v>
      </c>
      <c r="I119" s="369">
        <v>0.9</v>
      </c>
      <c r="J119" s="370">
        <v>1</v>
      </c>
      <c r="K119" s="315" t="s">
        <v>2134</v>
      </c>
      <c r="L119" s="377">
        <v>0.9</v>
      </c>
      <c r="M119" s="378">
        <v>1</v>
      </c>
      <c r="N119" s="300" t="s">
        <v>2144</v>
      </c>
      <c r="O119" s="18"/>
      <c r="P119" s="302" t="s">
        <v>2145</v>
      </c>
      <c r="Q119" s="18"/>
      <c r="R119" s="18"/>
      <c r="S119" s="18"/>
      <c r="T119" s="18"/>
      <c r="U119" s="18"/>
      <c r="V119" s="18"/>
      <c r="W119" s="18"/>
      <c r="X119" s="18"/>
      <c r="Y119" s="18"/>
      <c r="Z119" s="18"/>
      <c r="AA119" s="18"/>
      <c r="AB119" s="301"/>
    </row>
    <row r="120" spans="1:28" ht="32">
      <c r="A120" s="342" t="s">
        <v>241</v>
      </c>
      <c r="B120" s="322" t="s">
        <v>2366</v>
      </c>
      <c r="C120" s="315" t="s">
        <v>2146</v>
      </c>
      <c r="D120" s="356">
        <v>4</v>
      </c>
      <c r="E120" s="357">
        <v>1</v>
      </c>
      <c r="F120" s="336" t="s">
        <v>2147</v>
      </c>
      <c r="G120" s="339" t="s">
        <v>2148</v>
      </c>
      <c r="H120" s="336" t="s">
        <v>2149</v>
      </c>
      <c r="I120" s="369">
        <v>0.4</v>
      </c>
      <c r="J120" s="370">
        <v>4</v>
      </c>
      <c r="K120" s="315" t="s">
        <v>2149</v>
      </c>
      <c r="L120" s="377">
        <v>0.3</v>
      </c>
      <c r="M120" s="378">
        <v>4</v>
      </c>
      <c r="N120" s="300" t="s">
        <v>2150</v>
      </c>
      <c r="O120" s="18"/>
      <c r="P120" s="302" t="s">
        <v>2151</v>
      </c>
      <c r="Q120" s="18"/>
      <c r="R120" s="302" t="s">
        <v>2152</v>
      </c>
      <c r="S120" s="18"/>
      <c r="T120" s="18"/>
      <c r="U120" s="18"/>
      <c r="V120" s="18"/>
      <c r="W120" s="18"/>
      <c r="X120" s="18"/>
      <c r="Y120" s="18"/>
      <c r="Z120" s="18"/>
      <c r="AA120" s="18"/>
      <c r="AB120" s="301"/>
    </row>
    <row r="121" spans="1:28" ht="96">
      <c r="A121" s="342" t="s">
        <v>491</v>
      </c>
      <c r="B121" s="322" t="s">
        <v>2367</v>
      </c>
      <c r="C121" s="315" t="s">
        <v>2153</v>
      </c>
      <c r="D121" s="356">
        <v>3</v>
      </c>
      <c r="E121" s="357">
        <v>2</v>
      </c>
      <c r="F121" s="336" t="s">
        <v>2154</v>
      </c>
      <c r="G121" s="315" t="s">
        <v>2155</v>
      </c>
      <c r="H121" s="336" t="s">
        <v>2156</v>
      </c>
      <c r="I121" s="369">
        <v>0.8</v>
      </c>
      <c r="J121" s="370">
        <v>4</v>
      </c>
      <c r="K121" s="315" t="s">
        <v>2156</v>
      </c>
      <c r="L121" s="377">
        <v>0.75</v>
      </c>
      <c r="M121" s="378">
        <v>4</v>
      </c>
      <c r="N121" s="300" t="s">
        <v>2157</v>
      </c>
      <c r="O121" s="18"/>
      <c r="P121" s="302" t="s">
        <v>2158</v>
      </c>
      <c r="Q121" s="18"/>
      <c r="R121" s="302" t="s">
        <v>2159</v>
      </c>
      <c r="S121" s="18"/>
      <c r="T121" s="18"/>
      <c r="U121" s="18"/>
      <c r="V121" s="18"/>
      <c r="W121" s="18"/>
      <c r="X121" s="18"/>
      <c r="Y121" s="18"/>
      <c r="Z121" s="18"/>
      <c r="AA121" s="18"/>
      <c r="AB121" s="301"/>
    </row>
    <row r="122" spans="1:28" ht="16">
      <c r="A122" s="342" t="s">
        <v>2160</v>
      </c>
      <c r="B122" s="323" t="s">
        <v>2240</v>
      </c>
      <c r="C122" s="315" t="s">
        <v>1619</v>
      </c>
      <c r="D122" s="356">
        <v>4</v>
      </c>
      <c r="E122" s="357">
        <v>1</v>
      </c>
      <c r="F122" s="336"/>
      <c r="G122" s="315"/>
      <c r="H122" s="336" t="s">
        <v>2161</v>
      </c>
      <c r="I122" s="369">
        <v>0.4</v>
      </c>
      <c r="J122" s="370">
        <v>5</v>
      </c>
      <c r="K122" s="315"/>
      <c r="L122" s="377">
        <v>0.2</v>
      </c>
      <c r="M122" s="378">
        <v>5</v>
      </c>
      <c r="N122" s="300" t="s">
        <v>2162</v>
      </c>
      <c r="O122" s="18"/>
      <c r="P122" s="18"/>
      <c r="Q122" s="18"/>
      <c r="R122" s="18"/>
      <c r="S122" s="18"/>
      <c r="T122" s="18"/>
      <c r="U122" s="18"/>
      <c r="V122" s="18"/>
      <c r="W122" s="18"/>
      <c r="X122" s="18"/>
      <c r="Y122" s="18"/>
      <c r="Z122" s="18"/>
      <c r="AA122" s="18"/>
      <c r="AB122" s="301"/>
    </row>
    <row r="123" spans="1:28" ht="48">
      <c r="A123" s="342" t="s">
        <v>220</v>
      </c>
      <c r="B123" s="323"/>
      <c r="C123" s="315" t="s">
        <v>2163</v>
      </c>
      <c r="D123" s="356">
        <v>3</v>
      </c>
      <c r="E123" s="357">
        <v>2</v>
      </c>
      <c r="F123" s="336" t="s">
        <v>2164</v>
      </c>
      <c r="G123" s="315" t="s">
        <v>2165</v>
      </c>
      <c r="H123" s="336" t="s">
        <v>2166</v>
      </c>
      <c r="I123" s="369">
        <v>0.8</v>
      </c>
      <c r="J123" s="370">
        <v>4</v>
      </c>
      <c r="K123" s="315" t="s">
        <v>2167</v>
      </c>
      <c r="L123" s="377">
        <v>0.75</v>
      </c>
      <c r="M123" s="378">
        <v>4</v>
      </c>
      <c r="N123" s="300" t="s">
        <v>2168</v>
      </c>
      <c r="O123" s="18"/>
      <c r="P123" s="18"/>
      <c r="Q123" s="18"/>
      <c r="R123" s="18"/>
      <c r="S123" s="18"/>
      <c r="T123" s="18"/>
      <c r="U123" s="18"/>
      <c r="V123" s="18"/>
      <c r="W123" s="18"/>
      <c r="X123" s="18"/>
      <c r="Y123" s="18"/>
      <c r="Z123" s="18"/>
      <c r="AA123" s="18"/>
      <c r="AB123" s="301"/>
    </row>
    <row r="124" spans="1:28" ht="16">
      <c r="A124" s="342" t="s">
        <v>2169</v>
      </c>
      <c r="B124" s="323" t="s">
        <v>2240</v>
      </c>
      <c r="C124" s="315" t="s">
        <v>1619</v>
      </c>
      <c r="D124" s="356">
        <v>4</v>
      </c>
      <c r="E124" s="357">
        <v>1</v>
      </c>
      <c r="F124" s="336" t="s">
        <v>2170</v>
      </c>
      <c r="G124" s="339" t="s">
        <v>2171</v>
      </c>
      <c r="H124" s="336" t="s">
        <v>2172</v>
      </c>
      <c r="I124" s="369">
        <v>0.8</v>
      </c>
      <c r="J124" s="370">
        <v>5</v>
      </c>
      <c r="K124" s="315"/>
      <c r="L124" s="377">
        <v>0</v>
      </c>
      <c r="M124" s="378">
        <v>4</v>
      </c>
      <c r="N124" s="300" t="s">
        <v>2173</v>
      </c>
      <c r="O124" s="18"/>
      <c r="P124" s="18"/>
      <c r="Q124" s="18"/>
      <c r="R124" s="18"/>
      <c r="S124" s="18"/>
      <c r="T124" s="18"/>
      <c r="U124" s="18"/>
      <c r="V124" s="18"/>
      <c r="W124" s="18"/>
      <c r="X124" s="18"/>
      <c r="Y124" s="18"/>
      <c r="Z124" s="18"/>
      <c r="AA124" s="18"/>
      <c r="AB124" s="301"/>
    </row>
    <row r="125" spans="1:28" ht="16">
      <c r="A125" s="342" t="s">
        <v>748</v>
      </c>
      <c r="B125" s="323" t="s">
        <v>2330</v>
      </c>
      <c r="C125" s="315" t="s">
        <v>2174</v>
      </c>
      <c r="D125" s="356">
        <v>3</v>
      </c>
      <c r="E125" s="357">
        <v>3</v>
      </c>
      <c r="F125" s="336" t="s">
        <v>2175</v>
      </c>
      <c r="G125" s="339" t="s">
        <v>2176</v>
      </c>
      <c r="H125" s="336" t="s">
        <v>2177</v>
      </c>
      <c r="I125" s="369">
        <v>0.8</v>
      </c>
      <c r="J125" s="370">
        <v>5</v>
      </c>
      <c r="K125" s="315"/>
      <c r="L125" s="377">
        <v>0</v>
      </c>
      <c r="M125" s="378">
        <v>4</v>
      </c>
      <c r="N125" s="300" t="s">
        <v>2178</v>
      </c>
      <c r="O125" s="18"/>
      <c r="P125" s="18"/>
      <c r="Q125" s="18"/>
      <c r="R125" s="18"/>
      <c r="S125" s="18"/>
      <c r="T125" s="18"/>
      <c r="U125" s="18"/>
      <c r="V125" s="18"/>
      <c r="W125" s="18"/>
      <c r="X125" s="18"/>
      <c r="Y125" s="18"/>
      <c r="Z125" s="18"/>
      <c r="AA125" s="18"/>
      <c r="AB125" s="301"/>
    </row>
    <row r="126" spans="1:28" ht="16">
      <c r="A126" s="342" t="s">
        <v>749</v>
      </c>
      <c r="B126" s="323" t="s">
        <v>2330</v>
      </c>
      <c r="C126" s="315"/>
      <c r="D126" s="356">
        <v>2</v>
      </c>
      <c r="E126" s="357">
        <v>4</v>
      </c>
      <c r="F126" s="336"/>
      <c r="G126" s="315"/>
      <c r="H126" s="336" t="s">
        <v>1944</v>
      </c>
      <c r="I126" s="369">
        <v>0.8</v>
      </c>
      <c r="J126" s="370">
        <v>5</v>
      </c>
      <c r="K126" s="315" t="s">
        <v>1944</v>
      </c>
      <c r="L126" s="377">
        <v>0.6</v>
      </c>
      <c r="M126" s="378">
        <v>5</v>
      </c>
      <c r="N126" s="300" t="s">
        <v>2179</v>
      </c>
      <c r="O126" s="18"/>
      <c r="P126" s="18"/>
      <c r="Q126" s="18"/>
      <c r="R126" s="18"/>
      <c r="S126" s="18"/>
      <c r="T126" s="18"/>
      <c r="U126" s="18"/>
      <c r="V126" s="18"/>
      <c r="W126" s="18"/>
      <c r="X126" s="18"/>
      <c r="Y126" s="18"/>
      <c r="Z126" s="18"/>
      <c r="AA126" s="18"/>
      <c r="AB126" s="301"/>
    </row>
    <row r="127" spans="1:28" ht="16">
      <c r="A127" s="342" t="s">
        <v>63</v>
      </c>
      <c r="B127" s="323" t="s">
        <v>2330</v>
      </c>
      <c r="C127" s="315"/>
      <c r="D127" s="356">
        <v>3</v>
      </c>
      <c r="E127" s="357">
        <v>3</v>
      </c>
      <c r="F127" s="336"/>
      <c r="G127" s="315"/>
      <c r="H127" s="336"/>
      <c r="I127" s="369">
        <v>0.25</v>
      </c>
      <c r="J127" s="370">
        <v>5</v>
      </c>
      <c r="K127" s="315"/>
      <c r="L127" s="377">
        <v>0.15</v>
      </c>
      <c r="M127" s="378">
        <v>5</v>
      </c>
      <c r="N127" s="300" t="s">
        <v>2180</v>
      </c>
      <c r="O127" s="18"/>
      <c r="P127" s="18"/>
      <c r="Q127" s="18"/>
      <c r="R127" s="18"/>
      <c r="S127" s="18"/>
      <c r="T127" s="18"/>
      <c r="U127" s="18"/>
      <c r="V127" s="18"/>
      <c r="W127" s="18"/>
      <c r="X127" s="18"/>
      <c r="Y127" s="18"/>
      <c r="Z127" s="18"/>
      <c r="AA127" s="18"/>
      <c r="AB127" s="301"/>
    </row>
    <row r="128" spans="1:28" ht="32">
      <c r="A128" s="342" t="s">
        <v>750</v>
      </c>
      <c r="B128" s="322" t="s">
        <v>2368</v>
      </c>
      <c r="C128" s="315" t="s">
        <v>1619</v>
      </c>
      <c r="D128" s="356">
        <v>3</v>
      </c>
      <c r="E128" s="357">
        <v>1</v>
      </c>
      <c r="F128" s="336" t="s">
        <v>102</v>
      </c>
      <c r="G128" s="315"/>
      <c r="H128" s="336" t="s">
        <v>2181</v>
      </c>
      <c r="I128" s="369">
        <v>0.6</v>
      </c>
      <c r="J128" s="370">
        <v>5</v>
      </c>
      <c r="K128" s="315" t="s">
        <v>2182</v>
      </c>
      <c r="L128" s="377">
        <v>0.8</v>
      </c>
      <c r="M128" s="378">
        <v>7</v>
      </c>
      <c r="N128" s="300" t="s">
        <v>2183</v>
      </c>
      <c r="O128" s="18"/>
      <c r="P128" s="18"/>
      <c r="Q128" s="18"/>
      <c r="R128" s="18"/>
      <c r="S128" s="18"/>
      <c r="T128" s="18"/>
      <c r="U128" s="18"/>
      <c r="V128" s="18"/>
      <c r="W128" s="18"/>
      <c r="X128" s="18"/>
      <c r="Y128" s="18"/>
      <c r="Z128" s="18"/>
      <c r="AA128" s="18"/>
      <c r="AB128" s="301"/>
    </row>
    <row r="129" spans="1:28" ht="96">
      <c r="A129" s="342" t="s">
        <v>751</v>
      </c>
      <c r="B129" s="322" t="s">
        <v>2369</v>
      </c>
      <c r="C129" s="315" t="s">
        <v>2184</v>
      </c>
      <c r="D129" s="356">
        <v>3</v>
      </c>
      <c r="E129" s="357">
        <v>2</v>
      </c>
      <c r="F129" s="336" t="s">
        <v>2185</v>
      </c>
      <c r="G129" s="339" t="s">
        <v>2186</v>
      </c>
      <c r="H129" s="336" t="s">
        <v>2187</v>
      </c>
      <c r="I129" s="369">
        <v>0.5</v>
      </c>
      <c r="J129" s="370">
        <v>3</v>
      </c>
      <c r="K129" s="315" t="s">
        <v>2187</v>
      </c>
      <c r="L129" s="377">
        <v>0.5</v>
      </c>
      <c r="M129" s="378">
        <v>7</v>
      </c>
      <c r="N129" s="300" t="s">
        <v>2188</v>
      </c>
      <c r="O129" s="18"/>
      <c r="P129" s="302" t="s">
        <v>2189</v>
      </c>
      <c r="Q129" s="18"/>
      <c r="R129" s="18"/>
      <c r="S129" s="18"/>
      <c r="T129" s="18"/>
      <c r="U129" s="18"/>
      <c r="V129" s="18"/>
      <c r="W129" s="18"/>
      <c r="X129" s="18"/>
      <c r="Y129" s="18"/>
      <c r="Z129" s="18"/>
      <c r="AA129" s="18"/>
      <c r="AB129" s="301"/>
    </row>
    <row r="130" spans="1:28" ht="32">
      <c r="A130" s="342" t="s">
        <v>269</v>
      </c>
      <c r="B130" s="322" t="s">
        <v>2370</v>
      </c>
      <c r="C130" s="315" t="s">
        <v>2190</v>
      </c>
      <c r="D130" s="356">
        <v>3</v>
      </c>
      <c r="E130" s="357">
        <v>3</v>
      </c>
      <c r="F130" s="336" t="s">
        <v>2069</v>
      </c>
      <c r="G130" s="315" t="s">
        <v>2138</v>
      </c>
      <c r="H130" s="336" t="s">
        <v>2191</v>
      </c>
      <c r="I130" s="369">
        <v>0.9</v>
      </c>
      <c r="J130" s="370">
        <v>3</v>
      </c>
      <c r="K130" s="315" t="s">
        <v>2191</v>
      </c>
      <c r="L130" s="377">
        <v>0.8</v>
      </c>
      <c r="M130" s="378">
        <v>5</v>
      </c>
      <c r="N130" s="300" t="s">
        <v>2192</v>
      </c>
      <c r="O130" s="18"/>
      <c r="P130" s="18"/>
      <c r="Q130" s="18"/>
      <c r="R130" s="302" t="s">
        <v>2193</v>
      </c>
      <c r="S130" s="18"/>
      <c r="T130" s="18"/>
      <c r="U130" s="18"/>
      <c r="V130" s="18"/>
      <c r="W130" s="18"/>
      <c r="X130" s="18"/>
      <c r="Y130" s="18"/>
      <c r="Z130" s="18"/>
      <c r="AA130" s="18"/>
      <c r="AB130" s="301"/>
    </row>
    <row r="131" spans="1:28" ht="48">
      <c r="A131" s="342" t="s">
        <v>2194</v>
      </c>
      <c r="B131" s="322" t="s">
        <v>2371</v>
      </c>
      <c r="C131" s="315" t="s">
        <v>2195</v>
      </c>
      <c r="D131" s="356">
        <v>1</v>
      </c>
      <c r="E131" s="357">
        <v>3</v>
      </c>
      <c r="F131" s="336" t="s">
        <v>2196</v>
      </c>
      <c r="G131" s="315" t="s">
        <v>2197</v>
      </c>
      <c r="H131" s="336" t="s">
        <v>2198</v>
      </c>
      <c r="I131" s="369">
        <v>0.9</v>
      </c>
      <c r="J131" s="370">
        <v>1</v>
      </c>
      <c r="K131" s="315" t="s">
        <v>2198</v>
      </c>
      <c r="L131" s="377">
        <v>0.9</v>
      </c>
      <c r="M131" s="378">
        <v>1</v>
      </c>
      <c r="N131" s="300" t="s">
        <v>2199</v>
      </c>
      <c r="O131" s="18"/>
      <c r="P131" s="302" t="s">
        <v>2200</v>
      </c>
      <c r="Q131" s="18"/>
      <c r="R131" s="18"/>
      <c r="S131" s="18"/>
      <c r="T131" s="18"/>
      <c r="U131" s="18"/>
      <c r="V131" s="18"/>
      <c r="W131" s="18"/>
      <c r="X131" s="18"/>
      <c r="Y131" s="18"/>
      <c r="Z131" s="18"/>
      <c r="AA131" s="18"/>
      <c r="AB131" s="301"/>
    </row>
    <row r="132" spans="1:28" ht="128">
      <c r="A132" s="342" t="s">
        <v>272</v>
      </c>
      <c r="B132" s="323" t="s">
        <v>2240</v>
      </c>
      <c r="C132" s="315" t="s">
        <v>2201</v>
      </c>
      <c r="D132" s="356">
        <v>3</v>
      </c>
      <c r="E132" s="357">
        <v>3</v>
      </c>
      <c r="F132" s="336" t="s">
        <v>2202</v>
      </c>
      <c r="G132" s="315" t="s">
        <v>2203</v>
      </c>
      <c r="H132" s="336" t="s">
        <v>2204</v>
      </c>
      <c r="I132" s="369">
        <v>0.5</v>
      </c>
      <c r="J132" s="370">
        <v>6</v>
      </c>
      <c r="K132" s="315" t="s">
        <v>2205</v>
      </c>
      <c r="L132" s="377">
        <v>0.5</v>
      </c>
      <c r="M132" s="378">
        <v>6</v>
      </c>
      <c r="N132" s="300" t="s">
        <v>2206</v>
      </c>
      <c r="O132" s="18"/>
      <c r="P132" s="302" t="s">
        <v>2207</v>
      </c>
      <c r="Q132" s="18"/>
      <c r="R132" s="302" t="s">
        <v>2208</v>
      </c>
      <c r="S132" s="18"/>
      <c r="T132" s="302" t="s">
        <v>2209</v>
      </c>
      <c r="U132" s="18"/>
      <c r="V132" s="302" t="s">
        <v>2210</v>
      </c>
      <c r="W132" s="18"/>
      <c r="X132" s="18"/>
      <c r="Y132" s="18"/>
      <c r="Z132" s="18"/>
      <c r="AA132" s="18"/>
      <c r="AB132" s="301"/>
    </row>
    <row r="133" spans="1:28" ht="33" thickBot="1">
      <c r="A133" s="348" t="s">
        <v>492</v>
      </c>
      <c r="B133" s="327" t="s">
        <v>2240</v>
      </c>
      <c r="C133" s="328" t="s">
        <v>2211</v>
      </c>
      <c r="D133" s="360">
        <v>4</v>
      </c>
      <c r="E133" s="361">
        <v>2</v>
      </c>
      <c r="F133" s="340" t="s">
        <v>2212</v>
      </c>
      <c r="G133" s="328" t="s">
        <v>2213</v>
      </c>
      <c r="H133" s="340" t="s">
        <v>2214</v>
      </c>
      <c r="I133" s="371">
        <v>0.6</v>
      </c>
      <c r="J133" s="372">
        <v>6</v>
      </c>
      <c r="K133" s="328" t="s">
        <v>2215</v>
      </c>
      <c r="L133" s="379">
        <v>0.6</v>
      </c>
      <c r="M133" s="380">
        <v>6</v>
      </c>
      <c r="N133" s="306" t="s">
        <v>2216</v>
      </c>
      <c r="O133" s="307"/>
      <c r="P133" s="307"/>
      <c r="Q133" s="307"/>
      <c r="R133" s="308" t="s">
        <v>2217</v>
      </c>
      <c r="S133" s="307"/>
      <c r="T133" s="307"/>
      <c r="U133" s="307"/>
      <c r="V133" s="307"/>
      <c r="W133" s="307"/>
      <c r="X133" s="307"/>
      <c r="Y133" s="307"/>
      <c r="Z133" s="307"/>
      <c r="AA133" s="307"/>
      <c r="AB133" s="309"/>
    </row>
    <row r="134" spans="1:28">
      <c r="C134" s="329"/>
      <c r="D134" s="362"/>
      <c r="F134" s="329"/>
      <c r="G134" s="329"/>
      <c r="H134" s="329"/>
      <c r="K134" s="329"/>
    </row>
    <row r="135" spans="1:28" ht="16">
      <c r="A135" s="349" t="s">
        <v>2218</v>
      </c>
      <c r="B135" s="330"/>
      <c r="C135" s="331" t="s">
        <v>2219</v>
      </c>
      <c r="D135" s="364" t="s">
        <v>2220</v>
      </c>
      <c r="F135" s="329"/>
      <c r="G135" s="329"/>
      <c r="H135" s="329"/>
      <c r="K135" s="329"/>
    </row>
    <row r="136" spans="1:28" ht="16">
      <c r="A136" s="329" t="s">
        <v>2221</v>
      </c>
      <c r="C136" s="329"/>
      <c r="D136" s="362"/>
      <c r="F136" s="329"/>
      <c r="G136" s="329"/>
      <c r="H136" s="329"/>
      <c r="K136" s="329"/>
    </row>
    <row r="137" spans="1:28" ht="16">
      <c r="A137" s="349" t="s">
        <v>2222</v>
      </c>
      <c r="B137" s="330"/>
      <c r="C137" s="331" t="s">
        <v>2223</v>
      </c>
      <c r="D137" s="362"/>
      <c r="F137" s="329"/>
      <c r="G137" s="329"/>
      <c r="H137" s="329"/>
      <c r="K137" s="329"/>
    </row>
    <row r="138" spans="1:28" ht="16">
      <c r="A138" s="329" t="s">
        <v>2224</v>
      </c>
      <c r="C138" s="329"/>
      <c r="D138" s="362"/>
      <c r="F138" s="329"/>
      <c r="G138" s="329"/>
      <c r="H138" s="329"/>
      <c r="K138" s="329"/>
    </row>
    <row r="139" spans="1:28" ht="16">
      <c r="A139" s="329" t="s">
        <v>2225</v>
      </c>
      <c r="C139" s="332" t="s">
        <v>1663</v>
      </c>
      <c r="D139" s="362"/>
      <c r="F139" s="329"/>
      <c r="G139" s="329"/>
      <c r="H139" s="329"/>
      <c r="K139" s="329"/>
    </row>
    <row r="140" spans="1:28" ht="16">
      <c r="A140" s="349" t="s">
        <v>2226</v>
      </c>
      <c r="B140" s="330"/>
      <c r="C140" s="329"/>
      <c r="D140" s="362"/>
      <c r="F140" s="329"/>
      <c r="G140" s="329"/>
      <c r="H140" s="329"/>
      <c r="K140" s="329"/>
    </row>
    <row r="141" spans="1:28">
      <c r="C141" s="329"/>
      <c r="D141" s="362"/>
      <c r="F141" s="329"/>
      <c r="G141" s="329"/>
      <c r="H141" s="329"/>
      <c r="K141" s="329"/>
    </row>
    <row r="142" spans="1:28">
      <c r="C142" s="329"/>
      <c r="D142" s="362"/>
      <c r="F142" s="329"/>
      <c r="G142" s="329"/>
      <c r="H142" s="329"/>
      <c r="K142" s="329"/>
    </row>
    <row r="143" spans="1:28">
      <c r="C143" s="329"/>
      <c r="D143" s="362"/>
      <c r="F143" s="329"/>
      <c r="G143" s="329"/>
      <c r="H143" s="329"/>
      <c r="K143" s="329"/>
    </row>
    <row r="144" spans="1:28">
      <c r="C144" s="329"/>
      <c r="D144" s="362"/>
      <c r="F144" s="329"/>
      <c r="G144" s="329"/>
      <c r="H144" s="329"/>
      <c r="K144" s="329"/>
    </row>
    <row r="145" spans="3:11">
      <c r="C145" s="329"/>
      <c r="D145" s="362"/>
      <c r="F145" s="329"/>
      <c r="G145" s="329"/>
      <c r="H145" s="329"/>
      <c r="K145" s="329"/>
    </row>
    <row r="146" spans="3:11">
      <c r="C146" s="329"/>
      <c r="D146" s="362"/>
      <c r="F146" s="329"/>
      <c r="G146" s="329"/>
      <c r="H146" s="329"/>
      <c r="K146" s="329"/>
    </row>
    <row r="147" spans="3:11">
      <c r="C147" s="329"/>
      <c r="D147" s="362"/>
      <c r="F147" s="329"/>
      <c r="G147" s="329"/>
      <c r="H147" s="329"/>
      <c r="K147" s="329"/>
    </row>
    <row r="148" spans="3:11">
      <c r="C148" s="329"/>
      <c r="D148" s="362"/>
      <c r="F148" s="329"/>
      <c r="G148" s="329"/>
      <c r="H148" s="329"/>
      <c r="K148" s="329"/>
    </row>
    <row r="149" spans="3:11">
      <c r="C149" s="329"/>
      <c r="D149" s="362"/>
      <c r="F149" s="329"/>
      <c r="G149" s="329"/>
      <c r="H149" s="329"/>
      <c r="K149" s="329"/>
    </row>
    <row r="150" spans="3:11">
      <c r="C150" s="329"/>
      <c r="D150" s="362"/>
      <c r="F150" s="329"/>
      <c r="G150" s="329"/>
      <c r="H150" s="329"/>
      <c r="K150" s="329"/>
    </row>
    <row r="151" spans="3:11">
      <c r="C151" s="329"/>
      <c r="D151" s="362"/>
      <c r="F151" s="329"/>
      <c r="G151" s="329"/>
      <c r="H151" s="329"/>
      <c r="K151" s="329"/>
    </row>
    <row r="152" spans="3:11">
      <c r="C152" s="329"/>
      <c r="D152" s="362"/>
      <c r="F152" s="329"/>
      <c r="G152" s="329"/>
      <c r="H152" s="329"/>
      <c r="K152" s="329"/>
    </row>
    <row r="153" spans="3:11">
      <c r="C153" s="329"/>
      <c r="D153" s="362"/>
      <c r="F153" s="329"/>
      <c r="G153" s="329"/>
      <c r="H153" s="329"/>
      <c r="K153" s="329"/>
    </row>
    <row r="154" spans="3:11">
      <c r="C154" s="329"/>
      <c r="D154" s="362"/>
      <c r="F154" s="329"/>
      <c r="G154" s="329"/>
      <c r="H154" s="329"/>
      <c r="K154" s="329"/>
    </row>
    <row r="155" spans="3:11">
      <c r="C155" s="329"/>
      <c r="D155" s="362"/>
      <c r="F155" s="329"/>
      <c r="G155" s="329"/>
      <c r="H155" s="329"/>
      <c r="K155" s="329"/>
    </row>
    <row r="156" spans="3:11">
      <c r="C156" s="329"/>
      <c r="D156" s="362"/>
      <c r="F156" s="329"/>
      <c r="G156" s="329"/>
      <c r="H156" s="329"/>
      <c r="K156" s="329"/>
    </row>
    <row r="157" spans="3:11">
      <c r="C157" s="329"/>
      <c r="D157" s="362"/>
      <c r="F157" s="329"/>
      <c r="G157" s="329"/>
      <c r="H157" s="329"/>
      <c r="K157" s="329"/>
    </row>
    <row r="158" spans="3:11">
      <c r="C158" s="329"/>
      <c r="D158" s="362"/>
      <c r="F158" s="329"/>
      <c r="G158" s="329"/>
      <c r="H158" s="329"/>
      <c r="K158" s="329"/>
    </row>
    <row r="159" spans="3:11">
      <c r="C159" s="329"/>
      <c r="D159" s="362"/>
      <c r="F159" s="329"/>
      <c r="G159" s="329"/>
      <c r="H159" s="329"/>
      <c r="K159" s="329"/>
    </row>
    <row r="160" spans="3:11">
      <c r="C160" s="329"/>
      <c r="D160" s="362"/>
      <c r="F160" s="329"/>
      <c r="G160" s="329"/>
      <c r="H160" s="329"/>
      <c r="K160" s="329"/>
    </row>
    <row r="161" spans="3:11">
      <c r="C161" s="329"/>
      <c r="D161" s="362"/>
      <c r="F161" s="329"/>
      <c r="G161" s="329"/>
      <c r="H161" s="329"/>
      <c r="K161" s="329"/>
    </row>
    <row r="162" spans="3:11">
      <c r="C162" s="329"/>
      <c r="D162" s="362"/>
      <c r="F162" s="329"/>
      <c r="G162" s="329"/>
      <c r="H162" s="329"/>
      <c r="K162" s="329"/>
    </row>
    <row r="163" spans="3:11">
      <c r="C163" s="329"/>
      <c r="D163" s="362"/>
      <c r="F163" s="329"/>
      <c r="G163" s="329"/>
      <c r="H163" s="329"/>
      <c r="K163" s="329"/>
    </row>
    <row r="164" spans="3:11">
      <c r="C164" s="329"/>
      <c r="D164" s="362"/>
      <c r="F164" s="329"/>
      <c r="G164" s="329"/>
      <c r="H164" s="329"/>
      <c r="K164" s="329"/>
    </row>
    <row r="165" spans="3:11">
      <c r="C165" s="329"/>
      <c r="D165" s="362"/>
      <c r="F165" s="329"/>
      <c r="G165" s="329"/>
      <c r="H165" s="329"/>
      <c r="K165" s="329"/>
    </row>
    <row r="166" spans="3:11">
      <c r="C166" s="329"/>
      <c r="D166" s="362"/>
      <c r="F166" s="329"/>
      <c r="G166" s="329"/>
      <c r="H166" s="329"/>
      <c r="K166" s="329"/>
    </row>
    <row r="167" spans="3:11">
      <c r="C167" s="329"/>
      <c r="D167" s="362"/>
      <c r="F167" s="329"/>
      <c r="G167" s="329"/>
      <c r="H167" s="329"/>
      <c r="K167" s="329"/>
    </row>
  </sheetData>
  <mergeCells count="2">
    <mergeCell ref="I1:J1"/>
    <mergeCell ref="L1:M1"/>
  </mergeCells>
  <hyperlinks>
    <hyperlink ref="N48" r:id="rId1" xr:uid="{48D9C274-B388-4E2C-8EFF-D24DF6E9AB83}"/>
    <hyperlink ref="P48" r:id="rId2" xr:uid="{097FD626-9A55-451D-9804-A38D6215F6CE}"/>
    <hyperlink ref="N4" r:id="rId3" xr:uid="{9B61D30A-A049-4866-86F8-9A2B92E168E6}"/>
    <hyperlink ref="N5" r:id="rId4" location=":~:text=X%2DALD%20is%20the%20most,been%20reported%20throughout%20the%20world." display="https://www.orpha.net/consor/cgi-bin/OC_Exp.php?Expert=43 - :~:text=X%2DALD%20is%20the%20most,been%20reported%20throughout%20the%20world." xr:uid="{9D22719D-2609-4A35-8E51-5400DEBC8494}"/>
    <hyperlink ref="P7" r:id="rId5" xr:uid="{79B49FD1-4DFD-43FF-8BAF-2EDBBCE6C5B1}"/>
    <hyperlink ref="N9" r:id="rId6" xr:uid="{CE64D41A-489D-48AF-A75C-9FE55CCFB768}"/>
    <hyperlink ref="N14" r:id="rId7" xr:uid="{14A4BE79-B219-4BB3-8BF8-96D47F4CE3A3}"/>
    <hyperlink ref="P4" r:id="rId8" xr:uid="{0B7E46DA-D6DD-43FA-B584-3B46D027EC2E}"/>
    <hyperlink ref="N11" r:id="rId9" xr:uid="{A6F65628-DEFF-4A83-9B8F-DB3DD7B0182E}"/>
    <hyperlink ref="N23" r:id="rId10" xr:uid="{FD13029D-D740-41B6-8F80-D492E25495E9}"/>
    <hyperlink ref="N31" r:id="rId11" xr:uid="{CE651487-1694-4FD8-AB91-25BA2011E6DC}"/>
    <hyperlink ref="N33" r:id="rId12" xr:uid="{EC299C93-0A29-4263-B8CA-2857C983DBAE}"/>
    <hyperlink ref="P33" r:id="rId13" location=":~:text=Trikafta%20will%20cost%20%24311%2C503%20annually,million%20in%202020%2C%20Reuters%20reports." display="https://www.advisory.com/daily-briefing/2019/10/28/cf-drug - :~:text=Trikafta%20will%20cost%20%24311%2C503%20annually,million%20in%202020%2C%20Reuters%20reports." xr:uid="{A3A99A4E-6D30-4D52-A68F-9BE82F8C9DBD}"/>
    <hyperlink ref="N34" r:id="rId14" xr:uid="{61E92694-056F-4B5B-9AE6-DF7701C32A10}"/>
    <hyperlink ref="N40" r:id="rId15" location="1" display="https://www.webmd.com/children/understanding-muscular-dystrophy-basics - 1" xr:uid="{2AFE5D4D-E50B-480D-8C9B-95258F96498A}"/>
    <hyperlink ref="P40" r:id="rId16" xr:uid="{37EBD002-19EC-4FCA-8437-877F7D069085}"/>
    <hyperlink ref="Q41" r:id="rId17" xr:uid="{C3DC0F64-DD8E-4F66-9C63-913059E83F58}"/>
    <hyperlink ref="N41" r:id="rId18" xr:uid="{B5DDF5E0-8D62-447E-B04E-B97C35F84D2D}"/>
    <hyperlink ref="O41" r:id="rId19" xr:uid="{C71BBB11-4017-461E-B621-F0088587C8B5}"/>
    <hyperlink ref="P41" r:id="rId20" xr:uid="{01E05FFB-A067-4AD5-B2C0-3679E7F4AEA0}"/>
    <hyperlink ref="N42" r:id="rId21" xr:uid="{A59E3AD7-B248-4682-99A8-BAE19E9F3B80}"/>
    <hyperlink ref="O42" r:id="rId22" xr:uid="{A78E4E32-DB50-4EA2-A18B-8772F4191426}"/>
    <hyperlink ref="P42" r:id="rId23" xr:uid="{1D6435DD-15A1-4E4D-8F37-76EDCBFE3826}"/>
    <hyperlink ref="P49" r:id="rId24" location=":~:text=Published%20data%20from%20the%20Fabry,women%20in%20the%20U.S.%20general" display="https://fabrydiseasenews.com/fabry-disease-life-expectancy/ - :~:text=Published%20data%20from%20the%20Fabry,women%20in%20the%20U.S.%20general" xr:uid="{816B796E-B0A6-4EB2-85B3-3C919116D501}"/>
    <hyperlink ref="N51" r:id="rId25" xr:uid="{8F0C6674-EA6C-4F82-9470-46F3D471D77E}"/>
    <hyperlink ref="P51" r:id="rId26" xr:uid="{A11E8E2E-39C6-438C-B3F6-E93DCF6BAA94}"/>
    <hyperlink ref="R51" r:id="rId27" xr:uid="{3A445F66-E4C2-494D-AFA4-C3439ADB35EC}"/>
    <hyperlink ref="N52" r:id="rId28" xr:uid="{BC704F47-9EFC-4947-8D6C-FC48755A2D62}"/>
    <hyperlink ref="P52" r:id="rId29" xr:uid="{19E5B4B7-B449-4B3F-A144-F55A93EF6303}"/>
    <hyperlink ref="R52" r:id="rId30" xr:uid="{1DD2E4B7-494A-40E3-93A4-87EA4F014BBF}"/>
    <hyperlink ref="P54" r:id="rId31" xr:uid="{83193A30-865A-4D21-B3FC-9584104762AB}"/>
    <hyperlink ref="N54" r:id="rId32" display="https://web.archive.org/web/20190329161935/https:/www1.magellanrx.com/media/604882/2016mrxtrendreport_final.pdf" xr:uid="{9B69A32E-D066-49BC-A37F-A1428C7A8498}"/>
    <hyperlink ref="N59" r:id="rId33" location=":~:text=Last%20week%2C%20Biogen%20announced%20it,%24550%2C000%20to%20%24600%2C000%20per%20year." display=":~:text=Last%20week%2C%20Biogen%20announced%20it,%24550%2C000%20to%20%24600%2C000%20per%20year." xr:uid="{FCC171E9-0CCA-4523-B2BD-B4AD3B71FE83}"/>
    <hyperlink ref="P59" r:id="rId34" xr:uid="{C441C90B-DF63-431B-8DEE-A7D0B45F769E}"/>
    <hyperlink ref="N56" r:id="rId35" xr:uid="{F4798536-DA1E-4B60-90AA-0EC126F48E68}"/>
    <hyperlink ref="N60" r:id="rId36" location=":~:text=Approved%20in%202016%2C%20Idelvion%20combines,annual%20price%20tag%20of%20%24500%2C000." display="https://www.medscape.com/viewarticle/879422 - :~:text=Approved%20in%202016%2C%20Idelvion%20combines,annual%20price%20tag%20of%20%24500%2C000." xr:uid="{364CC7DB-34B7-4846-A366-100148E9C2FC}"/>
    <hyperlink ref="N61" r:id="rId37" xr:uid="{710EC5F8-EAF8-41B6-9937-8BA946BB5945}"/>
    <hyperlink ref="N16" r:id="rId38" xr:uid="{F6014E87-6614-457C-931E-38CADE81BC87}"/>
    <hyperlink ref="P62" r:id="rId39" xr:uid="{4506F67F-0F42-486F-87EA-DF9183B02966}"/>
    <hyperlink ref="R62" r:id="rId40" xr:uid="{D4E7FFE4-797C-4377-B683-DDA1085D9754}"/>
    <hyperlink ref="R7" r:id="rId41" xr:uid="{BAFB71C4-2ED9-452A-8D75-49EDE6FD8F9D}"/>
    <hyperlink ref="N63" r:id="rId42" xr:uid="{4B92FA49-0576-419C-BC15-AFE752AE7A73}"/>
    <hyperlink ref="T7" r:id="rId43" xr:uid="{D03F304F-C090-41AD-83EE-3DB304521DD3}"/>
    <hyperlink ref="N65" r:id="rId44" xr:uid="{C532812A-8F80-405A-8EDF-C0092B1DA9D8}"/>
    <hyperlink ref="P65" r:id="rId45" xr:uid="{73A31AEA-FD8C-4D7F-9269-AC569C43BAED}"/>
    <hyperlink ref="R65" r:id="rId46" xr:uid="{16115DD6-BF56-4B03-828E-476C60BF37E0}"/>
    <hyperlink ref="P14" r:id="rId47" xr:uid="{7DB35E0A-FF98-47EB-B1BF-033089442E12}"/>
    <hyperlink ref="X65" r:id="rId48" location=":~:text=Homozygous%20familial%20hypercholesterolemia%20(HoFH)%20is,expectancy%20is%20approximately%2033%20years." display="https://www.medscape.com/viewarticle/809475_3 - :~:text=Homozygous%20familial%20hypercholesterolemia%20(HoFH)%20is,expectancy%20is%20approximately%2033%20years." xr:uid="{A018183D-343F-46A8-AC6D-35A3235B49FA}"/>
    <hyperlink ref="N68" r:id="rId49" xr:uid="{D434DD31-B0CB-46CD-987E-EFEFD5707E08}"/>
    <hyperlink ref="N67" r:id="rId50" xr:uid="{522BEDA0-616D-49BF-BB30-9275EBD0C041}"/>
    <hyperlink ref="P68" r:id="rId51" xr:uid="{A6378C00-A9C1-4C20-9370-49E6D64B45C1}"/>
    <hyperlink ref="R68" r:id="rId52" xr:uid="{02647D91-E2D7-4345-8F4A-189B503A5C18}"/>
    <hyperlink ref="N69" r:id="rId53" xr:uid="{40396BF7-0B3F-4673-865C-3EDA06C6C263}"/>
    <hyperlink ref="N70" r:id="rId54" xr:uid="{3DC1C41F-155E-458E-94DC-9AC12DF4B60C}"/>
    <hyperlink ref="N72" r:id="rId55" xr:uid="{67AA99B3-FC15-4219-B3DC-340A99F2EFD1}"/>
    <hyperlink ref="P72" r:id="rId56" location=":~:text=Acute%20myocardial%20infarction%20(MI)%20is,year%20after%20their%20myocardial%20infarction." display="https://www.medscape.com/answers/155919-15097/what-is-the-prognosis-of-acute-myocardial-infarction-mi-heart-attack - :~:text=Acute%20myocardial%20infarction%20(MI)%20is,year%20after%20their%20myocardial%20infarction." xr:uid="{DDF1567D-A56D-44E4-AF97-45B517D9F227}"/>
    <hyperlink ref="N58" r:id="rId57" xr:uid="{33714A95-4877-4AE7-8B31-9C228E272181}"/>
    <hyperlink ref="R72" r:id="rId58" xr:uid="{86193DCA-4083-4D46-B555-76F435F5FC5E}"/>
    <hyperlink ref="V72" r:id="rId59" xr:uid="{3CF39605-A31E-4F4D-94DD-40E35B77FA70}"/>
    <hyperlink ref="T72" r:id="rId60" xr:uid="{128E5AB8-9417-4AE8-9D2F-4965D21D1667}"/>
    <hyperlink ref="N73" r:id="rId61" xr:uid="{CDEA0804-72AE-46F1-A39F-42E91735F3C9}"/>
    <hyperlink ref="P73" r:id="rId62" xr:uid="{B9171263-FFD9-46E2-BB85-925365D71293}"/>
    <hyperlink ref="N74" r:id="rId63" xr:uid="{AC50E6C3-7169-4C17-B1C1-649A847325B5}"/>
    <hyperlink ref="N75" r:id="rId64" xr:uid="{535304A7-E76F-4E2C-888B-768E4672FE6F}"/>
    <hyperlink ref="N76" r:id="rId65" xr:uid="{D8A14580-B193-43E5-B363-5FBB3C1E7299}"/>
    <hyperlink ref="P76" r:id="rId66" xr:uid="{4849964F-61FA-410B-A269-3A6BB136DE5C}"/>
    <hyperlink ref="N78" r:id="rId67" xr:uid="{5103A632-DDEB-4D4A-8E89-9E42F2669E49}"/>
    <hyperlink ref="N77" r:id="rId68" xr:uid="{BDC8A733-893C-4415-B945-9636B946D75B}"/>
    <hyperlink ref="N79" r:id="rId69" xr:uid="{9E231C18-BFDD-4098-8FB9-C7CE71453733}"/>
    <hyperlink ref="N83" r:id="rId70" xr:uid="{386F7689-2659-44F3-B9E4-8A5F67956EA0}"/>
    <hyperlink ref="N82" r:id="rId71" xr:uid="{5A44F970-89D2-44CE-9ABF-F2DD6EC8D053}"/>
    <hyperlink ref="N81" r:id="rId72" location="1" display="https://www.webmd.com/eye-health/macular-degeneration/wet-amd-signs-symptoms - 1" xr:uid="{A9C9014E-6072-4304-BF50-CD45BBFE1214}"/>
    <hyperlink ref="N80" r:id="rId73" location="1" display="https://www.webmd.com/eye-health/macular-degeneration/wet-amd-treatments - 1" xr:uid="{7C7C8BC1-2ED6-441D-91AF-B9918D714C6A}"/>
    <hyperlink ref="N85" r:id="rId74" xr:uid="{1F4FA74A-AD67-40B6-ACA8-730BE202618D}"/>
    <hyperlink ref="P85" r:id="rId75" xr:uid="{EE12359F-6559-4C96-A2E7-091D8324F56D}"/>
    <hyperlink ref="N86" r:id="rId76" xr:uid="{3BD97161-BF36-438B-9B03-ACC795F596A3}"/>
    <hyperlink ref="P86" r:id="rId77" xr:uid="{0FFC4339-20CA-4610-88C8-BF1F7220D673}"/>
    <hyperlink ref="P87" r:id="rId78" location="description" display="https://www.rxlist.com/aldurazyme-drug.htm - description" xr:uid="{C2787867-E9BC-42D9-B82D-BB9E0864BFC6}"/>
    <hyperlink ref="R87" r:id="rId79" xr:uid="{9676907E-5287-46D2-B7EB-3287DC20863D}"/>
    <hyperlink ref="N87" r:id="rId80" xr:uid="{505258CE-1334-4C0F-A57F-F15636DAAFAB}"/>
    <hyperlink ref="P88" r:id="rId81" xr:uid="{6E024B1E-AFC7-470B-9927-0A580986CB1C}"/>
    <hyperlink ref="R88" r:id="rId82" xr:uid="{5DA172F1-6FE7-4C3B-8F8B-E845D58875A5}"/>
    <hyperlink ref="T88" r:id="rId83" xr:uid="{0699B2EC-546F-455D-80BE-96AC72177041}"/>
    <hyperlink ref="N88" r:id="rId84" xr:uid="{91F399F9-CD81-4A5B-B087-65668F0ADAD9}"/>
    <hyperlink ref="N89" r:id="rId85" xr:uid="{36ABD04B-7733-4631-B226-B4261F573BBF}"/>
    <hyperlink ref="N90" r:id="rId86" xr:uid="{6EBAA3A7-5202-4280-BAEB-2A9C0D173515}"/>
    <hyperlink ref="P91" r:id="rId87" xr:uid="{11582AAA-AA1F-42F6-9721-8A3261966399}"/>
    <hyperlink ref="N91" r:id="rId88" xr:uid="{26231455-8529-4900-9CB7-B84A9B7897C2}"/>
    <hyperlink ref="N92" r:id="rId89" xr:uid="{B13028E7-C38C-483B-99FB-4526B38865FE}"/>
    <hyperlink ref="P92" r:id="rId90" xr:uid="{54962802-FE76-452E-8AA9-05ED01CC339D}"/>
    <hyperlink ref="N93" r:id="rId91" xr:uid="{D68169A8-2182-42E8-A98E-F580F62C2B1B}"/>
    <hyperlink ref="P93" r:id="rId92" xr:uid="{7523520F-A927-4094-9B96-988673629FF6}"/>
    <hyperlink ref="N94" r:id="rId93" xr:uid="{BA4796B5-31DC-401F-B3EB-BD451D713E9B}"/>
    <hyperlink ref="N95" r:id="rId94" xr:uid="{B78B6A66-7082-4E21-A801-DC93C7E47B92}"/>
    <hyperlink ref="P95" r:id="rId95" xr:uid="{9914EB2C-B942-4B88-97B0-0B71E6806324}"/>
    <hyperlink ref="N96" r:id="rId96" xr:uid="{DED24821-63BD-45B7-88B7-6D1323009836}"/>
    <hyperlink ref="N99" r:id="rId97" xr:uid="{AE98696E-9567-4EB4-B440-31E51C1D2F77}"/>
    <hyperlink ref="N98" r:id="rId98" xr:uid="{9FF1BE30-0019-4B38-BA00-1F9115469C87}"/>
    <hyperlink ref="N100" r:id="rId99" xr:uid="{A176DAF7-34F5-4086-9D64-53192AC56BF2}"/>
    <hyperlink ref="P100" r:id="rId100" xr:uid="{E0AD3C96-0FC9-486C-8ED1-739CACE6EBA8}"/>
    <hyperlink ref="N101" r:id="rId101" xr:uid="{E35D2166-559E-4A0A-97E7-D3FE37519BE5}"/>
    <hyperlink ref="P101" r:id="rId102" xr:uid="{60E56281-7D80-4223-A94A-FCDEE0DA5357}"/>
    <hyperlink ref="R101" r:id="rId103" xr:uid="{AB62061F-2126-4281-9813-D902501EF95B}"/>
    <hyperlink ref="N102" r:id="rId104" xr:uid="{8FEAF213-A00B-4674-A7FB-2ABC87FB745A}"/>
    <hyperlink ref="N103" r:id="rId105" xr:uid="{F10E853A-0F6F-4BF0-9AF2-658A308243F0}"/>
    <hyperlink ref="P103" r:id="rId106" location=":~:text=According%20to%20the%20Star%20Tribune,the%20cost%20by%20about%20%24200." display="https://www.fiercebiotech.com/medical-devices/medtronic-touts-its-upgraded-wearable-neurostimulator-to-evaluate-overactive - :~:text=According%20to%20the%20Star%20Tribune,the%20cost%20by%20about%20%24200." xr:uid="{9450305C-44B7-42A7-9528-322145783129}"/>
    <hyperlink ref="R103" r:id="rId107" xr:uid="{39E2B905-99F2-464A-8D4C-526695BCD8CE}"/>
    <hyperlink ref="P104" r:id="rId108" xr:uid="{6E9BEB84-38DF-4F73-88B8-2E2AF206EB77}"/>
    <hyperlink ref="N104" r:id="rId109" xr:uid="{619D946E-E9F7-4062-9827-5268D8E049E9}"/>
    <hyperlink ref="N106" r:id="rId110" xr:uid="{23D8A14D-FA38-4A99-AEAC-6CDAFCA53580}"/>
    <hyperlink ref="N105" r:id="rId111" xr:uid="{963981CB-0632-4988-A34E-DC013B79D561}"/>
    <hyperlink ref="P106" r:id="rId112" xr:uid="{935C0E72-38CB-4D92-9F14-388116C20AE8}"/>
    <hyperlink ref="P107" r:id="rId113" xr:uid="{1DF29F51-75AB-4471-9B68-F35F0EA77DF1}"/>
    <hyperlink ref="N107" r:id="rId114" xr:uid="{5BB82DAA-F85B-467E-8E9F-3158B5CA3EF6}"/>
    <hyperlink ref="R107" r:id="rId115" xr:uid="{5105949E-1BCC-48A3-A21F-9FFC621D32E7}"/>
    <hyperlink ref="T107" r:id="rId116" xr:uid="{2DBE01C8-96E7-47C2-BAE0-0EE160D8204E}"/>
    <hyperlink ref="N109" r:id="rId117" xr:uid="{36856847-3C97-42D0-9F82-77F3D76197F0}"/>
    <hyperlink ref="N110" r:id="rId118" xr:uid="{A4A85768-0CC7-4CD7-871B-762B53EA98AF}"/>
    <hyperlink ref="N111" r:id="rId119" xr:uid="{C2D7B8FD-7FDE-46A2-B233-12804459BAF6}"/>
    <hyperlink ref="N112" r:id="rId120" xr:uid="{4A325207-EBB3-4E6A-A189-5508D197CF4D}"/>
    <hyperlink ref="N113" r:id="rId121" xr:uid="{6BA93B40-E44D-4D19-8F9A-6CFABD1FDB72}"/>
    <hyperlink ref="N114" r:id="rId122" xr:uid="{40FEB5B3-3A0C-48DD-8CF7-72C382B867B4}"/>
    <hyperlink ref="N115" r:id="rId123" xr:uid="{C6EBEDBF-C459-40BE-8574-CAC8F37C4776}"/>
    <hyperlink ref="N116" r:id="rId124" xr:uid="{3D023AF5-0DB9-4737-8466-C73882A82D0B}"/>
    <hyperlink ref="P116" r:id="rId125" xr:uid="{BBE432C1-040D-4FED-850E-2857EFB44176}"/>
    <hyperlink ref="N117" r:id="rId126" xr:uid="{9495EA77-ED3D-4BC4-88CD-435C2F492A79}"/>
    <hyperlink ref="N118" r:id="rId127" xr:uid="{0F9D3628-8C3E-4BC1-B71D-607C651563AE}"/>
    <hyperlink ref="P118" r:id="rId128" xr:uid="{67B9D220-50D6-4112-88A3-C2F642794023}"/>
    <hyperlink ref="R91" r:id="rId129" xr:uid="{DAC0800E-2B49-45E2-A188-F49F14189EA9}"/>
    <hyperlink ref="R118" r:id="rId130" xr:uid="{2670A5E5-500C-4F9D-A653-70B4886D96FF}"/>
    <hyperlink ref="P119" r:id="rId131" xr:uid="{C4902C2C-3B79-4C94-A58C-EB8A93542910}"/>
    <hyperlink ref="N120" r:id="rId132" xr:uid="{E392CE9A-18C5-48C8-BC85-5EC5F19A3218}"/>
    <hyperlink ref="P120" r:id="rId133" xr:uid="{B7CD4A9F-DA86-4809-921C-9A7037E82CF1}"/>
    <hyperlink ref="R120" r:id="rId134" xr:uid="{A1876FCB-238F-47DE-BEE6-7CA4D4D016EB}"/>
    <hyperlink ref="P121" r:id="rId135" xr:uid="{2DF47CC1-0761-4AAB-A08F-64DF6F7F884D}"/>
    <hyperlink ref="R121" r:id="rId136" xr:uid="{E887F13D-5CC7-47EE-8691-4DEF71231643}"/>
    <hyperlink ref="N123" r:id="rId137" xr:uid="{BB6EF02C-0ACF-443D-89F0-749948F5C235}"/>
    <hyperlink ref="N124" r:id="rId138" xr:uid="{3BC0540E-7623-479B-8D10-B566545421DD}"/>
    <hyperlink ref="N128" r:id="rId139" xr:uid="{0D427EB0-F621-4868-B720-9B107280F554}"/>
    <hyperlink ref="N125" r:id="rId140" xr:uid="{4B2481FC-7662-4408-9F52-1B565FCD942E}"/>
    <hyperlink ref="N127" r:id="rId141" xr:uid="{01FA440F-DB2B-43BF-A264-0A6C4013007E}"/>
    <hyperlink ref="N130" r:id="rId142" xr:uid="{EBFC2662-35B5-46B6-B540-81346871FD81}"/>
    <hyperlink ref="N129" r:id="rId143" xr:uid="{C2C01757-2A9E-4AEA-AEE3-E4D19BA9F234}"/>
    <hyperlink ref="P129" r:id="rId144" xr:uid="{C681C381-6853-4491-969B-032E3B26FCF4}"/>
    <hyperlink ref="R130" r:id="rId145" xr:uid="{61480035-9B11-4E31-A1D4-E3B4338A91C5}"/>
    <hyperlink ref="P131" r:id="rId146" xr:uid="{2C1B760C-76B9-4643-928F-227CFAF6C785}"/>
    <hyperlink ref="N131" r:id="rId147" xr:uid="{BB215407-32B9-4DD6-B7A6-AC8B8BEB01AA}"/>
    <hyperlink ref="R132" r:id="rId148" xr:uid="{15EEE4BF-BD4E-40A2-B547-19AF3A976C68}"/>
    <hyperlink ref="P132" r:id="rId149" xr:uid="{A9D68D27-A8DF-4106-9EA2-1563E938CF16}"/>
    <hyperlink ref="N132" r:id="rId150" xr:uid="{F1216D3D-554E-49EC-8A3E-D9FE70185541}"/>
    <hyperlink ref="V132" r:id="rId151" xr:uid="{78B0B23C-5C9E-48B3-BFB9-68B74A576E47}"/>
    <hyperlink ref="N3" r:id="rId152" xr:uid="{FB4B15F8-09B1-445A-B9CA-7D724A7BF92B}"/>
    <hyperlink ref="P9" r:id="rId153" xr:uid="{45F8F6D6-36A6-49D8-A4BA-9B7AA1A850FD}"/>
    <hyperlink ref="N10" r:id="rId154" xr:uid="{9FD544E7-68C3-41EE-93B9-1C8C73B922BE}"/>
    <hyperlink ref="N12" r:id="rId155" xr:uid="{D03ECCBC-7C69-49AD-880A-FC0F56C0794A}"/>
    <hyperlink ref="R14" r:id="rId156" xr:uid="{EB5C460A-0CC4-42A2-A7E8-D898387D5C5C}"/>
    <hyperlink ref="N15" r:id="rId157" xr:uid="{EB967279-1D6F-4625-820E-3151DE339573}"/>
    <hyperlink ref="N8" r:id="rId158" xr:uid="{2A1B2158-9A84-4EF5-9B0E-2069631753D7}"/>
    <hyperlink ref="P16" r:id="rId159" xr:uid="{60F99314-7676-43A8-A8C4-7ECB38929EAB}"/>
    <hyperlink ref="N18" r:id="rId160" xr:uid="{F2B1FEDB-0E8F-4AE4-B065-D08AF534CF2F}"/>
    <hyperlink ref="N17" r:id="rId161" xr:uid="{AA695A2E-F317-417B-AA0F-110DB0408C1A}"/>
    <hyperlink ref="N19" r:id="rId162" xr:uid="{9F7722B3-DEA4-44DE-944F-18D19F8389A2}"/>
    <hyperlink ref="N21" r:id="rId163" xr:uid="{A84276A6-9FA9-45FD-BC43-6F3BBB3EC2BD}"/>
    <hyperlink ref="P20" r:id="rId164" xr:uid="{068E5C47-FF7D-4AFE-89D3-83CE74A36389}"/>
    <hyperlink ref="N22" r:id="rId165" xr:uid="{5C50CF5C-D116-49B8-9E3B-4CA2D7227BBA}"/>
    <hyperlink ref="N24" r:id="rId166" xr:uid="{3415F806-BF55-4BCA-B4D5-7BCFA99E32EE}"/>
    <hyperlink ref="N25" r:id="rId167" xr:uid="{06EBFAC5-F108-41BE-99D3-37B318A59EE1}"/>
    <hyperlink ref="P26" r:id="rId168" xr:uid="{B1B17326-5686-4465-B661-6A7CB95FD1ED}"/>
    <hyperlink ref="N26" r:id="rId169" xr:uid="{A7D14C5F-BC59-429D-86F2-921243C306CF}"/>
    <hyperlink ref="N27" r:id="rId170" xr:uid="{EE60F1A0-70DF-4CBD-A465-8037E47A5948}"/>
    <hyperlink ref="N30" r:id="rId171" xr:uid="{560430EB-785B-470A-8C4F-BF1B68A2F436}"/>
    <hyperlink ref="N29" r:id="rId172" xr:uid="{AB099575-EDED-4241-B7AB-57DD5D111DF4}"/>
    <hyperlink ref="N32" r:id="rId173" xr:uid="{3C0192BE-B3E8-40A1-9FDC-E6DD4F721329}"/>
    <hyperlink ref="N35" r:id="rId174" xr:uid="{D8802C3D-B121-409B-BA08-22B27DB1EBEC}"/>
    <hyperlink ref="N37" r:id="rId175" xr:uid="{DFA4B647-EF8F-4410-9E7B-D35EE745F82B}"/>
    <hyperlink ref="N38" r:id="rId176" xr:uid="{291E2C81-AFD7-4126-8F7F-B6617ADE19AE}"/>
    <hyperlink ref="N39" r:id="rId177" xr:uid="{2F8FA713-6209-434D-886A-D5325E5C5F4D}"/>
    <hyperlink ref="R36" r:id="rId178" xr:uid="{829D1E3F-D8A8-4B2F-9672-6A8EB87CFA78}"/>
    <hyperlink ref="P36" r:id="rId179" xr:uid="{DDA821C3-A281-4847-8CF7-57BD22C0DD22}"/>
    <hyperlink ref="N36" r:id="rId180" location="1" xr:uid="{EB16B8F2-5B31-4870-A3E2-82B752A9E999}"/>
    <hyperlink ref="N46" r:id="rId181" xr:uid="{89066847-0A85-45F6-8F59-D778453EBDE8}"/>
    <hyperlink ref="N47" r:id="rId182" xr:uid="{10EF42C0-E396-4930-A7AB-F1B6E7FCE4EC}"/>
    <hyperlink ref="N50" r:id="rId183" xr:uid="{6A18C165-ACCF-4518-9BBF-B5FED63DFCDA}"/>
    <hyperlink ref="N53" r:id="rId184" xr:uid="{15DDF02D-6545-4B97-BC7C-2981B05DC54B}"/>
    <hyperlink ref="R54" r:id="rId185" xr:uid="{1009211A-C2B4-4DBE-9432-26DB039BA2F3}"/>
    <hyperlink ref="N55" r:id="rId186" xr:uid="{BC62E2AA-491A-4F75-83F5-AD5617FBD1D9}"/>
    <hyperlink ref="P56" r:id="rId187" xr:uid="{96DB2ADF-0EEE-4282-9CDD-A1FDCDD3D095}"/>
    <hyperlink ref="N64" r:id="rId188" xr:uid="{1C9882ED-A3ED-491A-89BE-7A1083CE7F4C}"/>
    <hyperlink ref="P64" r:id="rId189" xr:uid="{501D8BA7-5052-4BD9-8DDB-8BCF6384D675}"/>
    <hyperlink ref="P66" r:id="rId190" xr:uid="{572510E6-6111-427E-9CE1-475627C10709}"/>
    <hyperlink ref="N66" r:id="rId191" xr:uid="{C59B95C6-A77F-4CFC-948B-534BB31BE6CA}"/>
    <hyperlink ref="C135" r:id="rId192" xr:uid="{8755C245-C642-49E7-921C-A35B863842AB}"/>
    <hyperlink ref="D135" r:id="rId193" xr:uid="{814646C2-383F-4350-8EAB-29377E12B499}"/>
    <hyperlink ref="C137" r:id="rId194" xr:uid="{F61FA46D-D75B-44E0-8867-5C9613ECF523}"/>
    <hyperlink ref="N45" r:id="rId195" xr:uid="{C89D7260-E7EE-4143-825D-06FBA6881211}"/>
    <hyperlink ref="N122" r:id="rId196" xr:uid="{51687DD4-36BE-4ADE-A9D7-9CFD4FF88821}"/>
    <hyperlink ref="N126" r:id="rId197" location=":~:text=Traumatic%20Brain%20Injury%20(TBI)%20is,skull%20and%20enters%20brain%20tissue." xr:uid="{8B535663-23AC-46A6-B10D-89A5DA830F1D}"/>
    <hyperlink ref="R133" r:id="rId198" xr:uid="{A4885B3E-6038-468A-83D0-FB1599ACABEC}"/>
    <hyperlink ref="N133" r:id="rId199" xr:uid="{0C9983CC-28A2-441B-B0D6-FB0C973B5F78}"/>
    <hyperlink ref="C139" r:id="rId200" xr:uid="{E752E2EF-A50F-4027-8A33-FA59E5AE4360}"/>
    <hyperlink ref="P31" r:id="rId201" xr:uid="{62F551FD-03E3-4094-8279-7A388A6BD360}"/>
    <hyperlink ref="R16" r:id="rId202" xr:uid="{D4718BA7-5CDD-40D8-8F77-D932AE584C65}"/>
    <hyperlink ref="N7" r:id="rId203" xr:uid="{2EB56EF5-47AF-41A8-BD23-53B06D246669}"/>
    <hyperlink ref="P38" r:id="rId204" xr:uid="{DF78D537-ACFE-4128-BCEC-60A6052AD293}"/>
    <hyperlink ref="R38" r:id="rId205" xr:uid="{4B371A54-30FB-46D0-8767-E6C5F2EB707D}"/>
    <hyperlink ref="P50" r:id="rId206" xr:uid="{A4257D30-678F-4BDF-A6D5-C2382699A5C2}"/>
    <hyperlink ref="R48" r:id="rId207" xr:uid="{794C4034-6BEE-433E-A53C-FE033C2C050F}"/>
    <hyperlink ref="T48" r:id="rId208" xr:uid="{F8E66C98-D825-4D64-B819-8DE6B6FE2FB1}"/>
    <hyperlink ref="V48" r:id="rId209" xr:uid="{D7878B5A-13E4-4035-A5D4-20774624FCB8}"/>
    <hyperlink ref="X48" r:id="rId210" xr:uid="{DE7D52E5-1B6C-488F-A7A7-98C1D534C0B1}"/>
    <hyperlink ref="Z48" r:id="rId211" xr:uid="{E8732033-F41B-4644-BBFE-D9408F60A867}"/>
    <hyperlink ref="P21" r:id="rId212" xr:uid="{C3B0DC66-F8E1-48EA-BB21-6A18DFDC45D5}"/>
    <hyperlink ref="P19" r:id="rId213" xr:uid="{6EAA1B3E-7840-481A-9D5A-7A5B5CEBD019}"/>
    <hyperlink ref="P22" r:id="rId214" xr:uid="{B6DA267B-B667-443E-BD04-82A0666633FE}"/>
    <hyperlink ref="P23" r:id="rId215" xr:uid="{56E1EC69-C6EB-452E-8D9D-301A72816DF8}"/>
    <hyperlink ref="P24" r:id="rId216" xr:uid="{5EBD4D0F-B1F5-40AF-896B-341A135F9317}"/>
    <hyperlink ref="P25" r:id="rId217" xr:uid="{B24FC5AD-1EA5-40F4-B327-87C6D4584C93}"/>
    <hyperlink ref="P29" r:id="rId218" xr:uid="{DC7080F0-9849-4182-9E67-457187A7B2AE}"/>
    <hyperlink ref="P30" r:id="rId219" xr:uid="{2B4D9AF4-950E-4ED8-B5CC-4A8F57D6797F}"/>
    <hyperlink ref="R31" r:id="rId220" xr:uid="{9FD366C3-2624-4AE7-B265-7AFA6C81F4C7}"/>
    <hyperlink ref="P32" r:id="rId221" xr:uid="{3C3A37A2-C0E1-4A6D-BB3C-8E8E7142060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936"/>
  <sheetViews>
    <sheetView topLeftCell="A115" workbookViewId="0">
      <selection activeCell="A121" sqref="A121:XFD121"/>
    </sheetView>
  </sheetViews>
  <sheetFormatPr baseColWidth="10" defaultColWidth="8.83203125" defaultRowHeight="15"/>
  <cols>
    <col min="1" max="1" width="8.83203125" style="66"/>
    <col min="2" max="2" width="34.5" style="66" customWidth="1"/>
    <col min="3" max="3" width="63.1640625" style="66" customWidth="1"/>
    <col min="4" max="4" width="29.1640625" style="66" customWidth="1"/>
    <col min="5" max="5" width="28.83203125" style="66" customWidth="1"/>
    <col min="6" max="6" width="8.83203125" style="80"/>
    <col min="7" max="7" width="13.5" style="79" customWidth="1"/>
    <col min="8" max="8" width="14" style="79" customWidth="1"/>
    <col min="9" max="9" width="14.5" style="79" customWidth="1"/>
    <col min="10" max="10" width="16.1640625" style="79" customWidth="1"/>
    <col min="11" max="11" width="13.5" style="79" customWidth="1"/>
    <col min="12" max="12" width="13.83203125" style="79" customWidth="1"/>
    <col min="13" max="16384" width="8.83203125" style="63"/>
  </cols>
  <sheetData>
    <row r="1" spans="1:14">
      <c r="A1" s="10">
        <f>COUNTIF(B:B,"&gt;"&amp;"a")</f>
        <v>591</v>
      </c>
      <c r="B1" s="4" t="s">
        <v>302</v>
      </c>
      <c r="C1" s="4" t="s">
        <v>307</v>
      </c>
      <c r="D1" s="4" t="s">
        <v>196</v>
      </c>
      <c r="E1" s="4" t="s">
        <v>308</v>
      </c>
      <c r="F1" s="4" t="s">
        <v>309</v>
      </c>
      <c r="G1" s="51" t="s">
        <v>848</v>
      </c>
      <c r="H1" s="51" t="s">
        <v>849</v>
      </c>
      <c r="I1" s="51" t="s">
        <v>846</v>
      </c>
      <c r="J1" s="51" t="s">
        <v>847</v>
      </c>
      <c r="K1" s="51" t="s">
        <v>844</v>
      </c>
      <c r="L1" s="51" t="s">
        <v>845</v>
      </c>
      <c r="N1" s="8" t="s">
        <v>850</v>
      </c>
    </row>
    <row r="2" spans="1:14">
      <c r="A2" s="10">
        <f t="shared" ref="A2:A65" ca="1" si="0">IF(B1=B2,"",ROW(A2)-1+MATCH(B2,INDIRECT("B"&amp;ROW(A2)&amp;":"&amp;"B"&amp;$A$1),1))</f>
        <v>3</v>
      </c>
      <c r="B2" s="82" t="s">
        <v>54</v>
      </c>
      <c r="C2" s="10" t="s">
        <v>851</v>
      </c>
      <c r="D2" s="10" t="s">
        <v>52</v>
      </c>
      <c r="E2" s="83" t="s">
        <v>493</v>
      </c>
      <c r="F2" s="84">
        <v>72</v>
      </c>
      <c r="G2" s="24">
        <f t="shared" ref="G2:G65" si="1">IF($N$2=1,I2,K2)</f>
        <v>12</v>
      </c>
      <c r="H2" s="24">
        <f t="shared" ref="H2:H65" si="2">IF($N$2=1,J2,L2)</f>
        <v>255</v>
      </c>
      <c r="I2" s="24">
        <v>12</v>
      </c>
      <c r="J2" s="24">
        <v>255</v>
      </c>
      <c r="K2" s="24">
        <v>30</v>
      </c>
      <c r="L2" s="24">
        <v>850</v>
      </c>
      <c r="N2" s="81">
        <v>1</v>
      </c>
    </row>
    <row r="3" spans="1:14">
      <c r="A3" s="10" t="str">
        <f t="shared" ca="1" si="0"/>
        <v/>
      </c>
      <c r="B3" s="82" t="s">
        <v>54</v>
      </c>
      <c r="C3" s="10" t="s">
        <v>852</v>
      </c>
      <c r="D3" s="10" t="s">
        <v>52</v>
      </c>
      <c r="E3" s="83" t="s">
        <v>494</v>
      </c>
      <c r="F3" s="84">
        <v>72</v>
      </c>
      <c r="G3" s="24">
        <f t="shared" si="1"/>
        <v>24</v>
      </c>
      <c r="H3" s="24">
        <f t="shared" si="2"/>
        <v>510</v>
      </c>
      <c r="I3" s="24">
        <v>24</v>
      </c>
      <c r="J3" s="24">
        <v>510</v>
      </c>
      <c r="K3" s="24">
        <v>60</v>
      </c>
      <c r="L3" s="24">
        <v>1700</v>
      </c>
    </row>
    <row r="4" spans="1:14">
      <c r="A4" s="10">
        <f t="shared" ca="1" si="0"/>
        <v>4</v>
      </c>
      <c r="B4" s="82" t="s">
        <v>710</v>
      </c>
      <c r="C4" s="10" t="s">
        <v>853</v>
      </c>
      <c r="D4" s="10" t="s">
        <v>50</v>
      </c>
      <c r="E4" s="83" t="s">
        <v>752</v>
      </c>
      <c r="F4" s="84">
        <v>30</v>
      </c>
      <c r="G4" s="24">
        <f t="shared" si="1"/>
        <v>192</v>
      </c>
      <c r="H4" s="24">
        <f t="shared" si="2"/>
        <v>7000</v>
      </c>
      <c r="I4" s="24">
        <v>192</v>
      </c>
      <c r="J4" s="24">
        <v>7000</v>
      </c>
      <c r="K4" s="24">
        <v>240</v>
      </c>
      <c r="L4" s="24">
        <v>10000</v>
      </c>
    </row>
    <row r="5" spans="1:14">
      <c r="A5" s="10">
        <f t="shared" ca="1" si="0"/>
        <v>5</v>
      </c>
      <c r="B5" s="82" t="s">
        <v>55</v>
      </c>
      <c r="C5" s="10" t="s">
        <v>854</v>
      </c>
      <c r="D5" s="10" t="s">
        <v>51</v>
      </c>
      <c r="E5" s="83" t="s">
        <v>495</v>
      </c>
      <c r="F5" s="84">
        <v>52</v>
      </c>
      <c r="G5" s="24">
        <f t="shared" si="1"/>
        <v>14.174999999999999</v>
      </c>
      <c r="H5" s="24">
        <f t="shared" si="2"/>
        <v>85.05</v>
      </c>
      <c r="I5" s="24">
        <v>14.174999999999999</v>
      </c>
      <c r="J5" s="24">
        <v>85.05</v>
      </c>
      <c r="K5" s="24">
        <v>15.749999999999998</v>
      </c>
      <c r="L5" s="24">
        <v>94.5</v>
      </c>
    </row>
    <row r="6" spans="1:14">
      <c r="A6" s="10">
        <f t="shared" ca="1" si="0"/>
        <v>6</v>
      </c>
      <c r="B6" s="82" t="s">
        <v>470</v>
      </c>
      <c r="C6" s="10" t="s">
        <v>855</v>
      </c>
      <c r="D6" s="10" t="s">
        <v>50</v>
      </c>
      <c r="E6" s="83" t="s">
        <v>496</v>
      </c>
      <c r="F6" s="84">
        <v>20</v>
      </c>
      <c r="G6" s="24">
        <f t="shared" si="1"/>
        <v>60</v>
      </c>
      <c r="H6" s="24">
        <f t="shared" si="2"/>
        <v>120</v>
      </c>
      <c r="I6" s="24">
        <v>60</v>
      </c>
      <c r="J6" s="24">
        <v>120</v>
      </c>
      <c r="K6" s="24">
        <v>6000</v>
      </c>
      <c r="L6" s="24">
        <v>12000</v>
      </c>
    </row>
    <row r="7" spans="1:14">
      <c r="A7" s="10">
        <f t="shared" ca="1" si="0"/>
        <v>7</v>
      </c>
      <c r="B7" s="82" t="s">
        <v>203</v>
      </c>
      <c r="C7" s="10" t="s">
        <v>856</v>
      </c>
      <c r="D7" s="10" t="s">
        <v>53</v>
      </c>
      <c r="E7" s="83" t="s">
        <v>497</v>
      </c>
      <c r="F7" s="84">
        <v>20</v>
      </c>
      <c r="G7" s="24">
        <f t="shared" si="1"/>
        <v>0</v>
      </c>
      <c r="H7" s="24">
        <f t="shared" si="2"/>
        <v>9000</v>
      </c>
      <c r="I7" s="24">
        <v>0</v>
      </c>
      <c r="J7" s="24">
        <v>9000</v>
      </c>
      <c r="K7" s="24">
        <v>0</v>
      </c>
      <c r="L7" s="24">
        <v>18000</v>
      </c>
    </row>
    <row r="8" spans="1:14">
      <c r="A8" s="10">
        <f t="shared" ca="1" si="0"/>
        <v>16</v>
      </c>
      <c r="B8" s="82" t="s">
        <v>208</v>
      </c>
      <c r="C8" s="10" t="s">
        <v>857</v>
      </c>
      <c r="D8" s="10" t="s">
        <v>51</v>
      </c>
      <c r="E8" s="83" t="s">
        <v>498</v>
      </c>
      <c r="F8" s="84">
        <v>20</v>
      </c>
      <c r="G8" s="24">
        <f t="shared" si="1"/>
        <v>6000</v>
      </c>
      <c r="H8" s="24">
        <f t="shared" si="2"/>
        <v>9900</v>
      </c>
      <c r="I8" s="24">
        <v>6000</v>
      </c>
      <c r="J8" s="24">
        <v>9900</v>
      </c>
      <c r="K8" s="24">
        <v>7500</v>
      </c>
      <c r="L8" s="24">
        <v>16500</v>
      </c>
    </row>
    <row r="9" spans="1:14">
      <c r="A9" s="10" t="str">
        <f t="shared" ca="1" si="0"/>
        <v/>
      </c>
      <c r="B9" s="82" t="s">
        <v>208</v>
      </c>
      <c r="C9" s="10" t="s">
        <v>858</v>
      </c>
      <c r="D9" s="10" t="s">
        <v>51</v>
      </c>
      <c r="E9" s="83" t="s">
        <v>753</v>
      </c>
      <c r="F9" s="84">
        <v>29</v>
      </c>
      <c r="G9" s="24">
        <f t="shared" si="1"/>
        <v>20000</v>
      </c>
      <c r="H9" s="24">
        <f t="shared" si="2"/>
        <v>33000</v>
      </c>
      <c r="I9" s="24">
        <v>20000</v>
      </c>
      <c r="J9" s="24">
        <v>33000</v>
      </c>
      <c r="K9" s="24">
        <v>25000</v>
      </c>
      <c r="L9" s="24">
        <v>55000</v>
      </c>
    </row>
    <row r="10" spans="1:14">
      <c r="A10" s="10" t="str">
        <f t="shared" ca="1" si="0"/>
        <v/>
      </c>
      <c r="B10" s="82" t="s">
        <v>208</v>
      </c>
      <c r="C10" s="10" t="s">
        <v>859</v>
      </c>
      <c r="D10" s="10" t="s">
        <v>51</v>
      </c>
      <c r="E10" s="83" t="s">
        <v>754</v>
      </c>
      <c r="F10" s="84">
        <v>30</v>
      </c>
      <c r="G10" s="24">
        <f t="shared" si="1"/>
        <v>20000</v>
      </c>
      <c r="H10" s="24">
        <f t="shared" si="2"/>
        <v>33000</v>
      </c>
      <c r="I10" s="24">
        <v>20000</v>
      </c>
      <c r="J10" s="24">
        <v>33000</v>
      </c>
      <c r="K10" s="24">
        <v>25000</v>
      </c>
      <c r="L10" s="24">
        <v>55000</v>
      </c>
    </row>
    <row r="11" spans="1:14">
      <c r="A11" s="10" t="str">
        <f t="shared" ca="1" si="0"/>
        <v/>
      </c>
      <c r="B11" s="82" t="s">
        <v>208</v>
      </c>
      <c r="C11" s="10" t="s">
        <v>860</v>
      </c>
      <c r="D11" s="10" t="s">
        <v>51</v>
      </c>
      <c r="E11" s="83" t="s">
        <v>496</v>
      </c>
      <c r="F11" s="84">
        <v>30</v>
      </c>
      <c r="G11" s="24">
        <f t="shared" si="1"/>
        <v>20000</v>
      </c>
      <c r="H11" s="24">
        <f t="shared" si="2"/>
        <v>33000</v>
      </c>
      <c r="I11" s="24">
        <v>20000</v>
      </c>
      <c r="J11" s="24">
        <v>33000</v>
      </c>
      <c r="K11" s="24">
        <v>25000</v>
      </c>
      <c r="L11" s="24">
        <v>55000</v>
      </c>
    </row>
    <row r="12" spans="1:14">
      <c r="A12" s="10" t="str">
        <f t="shared" ca="1" si="0"/>
        <v/>
      </c>
      <c r="B12" s="82" t="s">
        <v>208</v>
      </c>
      <c r="C12" s="10" t="s">
        <v>861</v>
      </c>
      <c r="D12" s="10" t="s">
        <v>51</v>
      </c>
      <c r="E12" s="83" t="s">
        <v>665</v>
      </c>
      <c r="F12" s="84">
        <v>30</v>
      </c>
      <c r="G12" s="24">
        <f t="shared" si="1"/>
        <v>10000</v>
      </c>
      <c r="H12" s="24">
        <f t="shared" si="2"/>
        <v>16500</v>
      </c>
      <c r="I12" s="24">
        <v>10000</v>
      </c>
      <c r="J12" s="24">
        <v>16500</v>
      </c>
      <c r="K12" s="24">
        <v>12500</v>
      </c>
      <c r="L12" s="24">
        <v>27500</v>
      </c>
    </row>
    <row r="13" spans="1:14">
      <c r="A13" s="10" t="str">
        <f t="shared" ca="1" si="0"/>
        <v/>
      </c>
      <c r="B13" s="82" t="s">
        <v>208</v>
      </c>
      <c r="C13" s="10" t="s">
        <v>862</v>
      </c>
      <c r="D13" s="10" t="s">
        <v>51</v>
      </c>
      <c r="E13" s="83" t="s">
        <v>755</v>
      </c>
      <c r="F13" s="84">
        <v>43</v>
      </c>
      <c r="G13" s="24">
        <f t="shared" si="1"/>
        <v>20000</v>
      </c>
      <c r="H13" s="24">
        <f t="shared" si="2"/>
        <v>33000</v>
      </c>
      <c r="I13" s="24">
        <v>20000</v>
      </c>
      <c r="J13" s="24">
        <v>33000</v>
      </c>
      <c r="K13" s="24">
        <v>25000</v>
      </c>
      <c r="L13" s="24">
        <v>55000</v>
      </c>
    </row>
    <row r="14" spans="1:14">
      <c r="A14" s="10" t="str">
        <f t="shared" ca="1" si="0"/>
        <v/>
      </c>
      <c r="B14" s="82" t="s">
        <v>208</v>
      </c>
      <c r="C14" s="10" t="s">
        <v>863</v>
      </c>
      <c r="D14" s="10" t="s">
        <v>51</v>
      </c>
      <c r="E14" s="83" t="s">
        <v>756</v>
      </c>
      <c r="F14" s="84">
        <v>30</v>
      </c>
      <c r="G14" s="24">
        <f t="shared" si="1"/>
        <v>20000</v>
      </c>
      <c r="H14" s="24">
        <f t="shared" si="2"/>
        <v>33000</v>
      </c>
      <c r="I14" s="24">
        <v>20000</v>
      </c>
      <c r="J14" s="24">
        <v>33000</v>
      </c>
      <c r="K14" s="24">
        <v>25000</v>
      </c>
      <c r="L14" s="24">
        <v>55000</v>
      </c>
    </row>
    <row r="15" spans="1:14">
      <c r="A15" s="10" t="str">
        <f t="shared" ca="1" si="0"/>
        <v/>
      </c>
      <c r="B15" s="82" t="s">
        <v>208</v>
      </c>
      <c r="C15" s="10" t="s">
        <v>864</v>
      </c>
      <c r="D15" s="10" t="s">
        <v>51</v>
      </c>
      <c r="E15" s="83" t="s">
        <v>757</v>
      </c>
      <c r="F15" s="84">
        <v>30</v>
      </c>
      <c r="G15" s="24">
        <f t="shared" si="1"/>
        <v>20000</v>
      </c>
      <c r="H15" s="24">
        <f t="shared" si="2"/>
        <v>33000</v>
      </c>
      <c r="I15" s="24">
        <v>20000</v>
      </c>
      <c r="J15" s="24">
        <v>33000</v>
      </c>
      <c r="K15" s="24">
        <v>25000</v>
      </c>
      <c r="L15" s="24">
        <v>55000</v>
      </c>
    </row>
    <row r="16" spans="1:14">
      <c r="A16" s="10" t="str">
        <f t="shared" ca="1" si="0"/>
        <v/>
      </c>
      <c r="B16" s="82" t="s">
        <v>208</v>
      </c>
      <c r="C16" s="10" t="s">
        <v>865</v>
      </c>
      <c r="D16" s="10" t="s">
        <v>51</v>
      </c>
      <c r="E16" s="83" t="s">
        <v>758</v>
      </c>
      <c r="F16" s="84">
        <v>30</v>
      </c>
      <c r="G16" s="24">
        <f t="shared" si="1"/>
        <v>20000</v>
      </c>
      <c r="H16" s="24">
        <f t="shared" si="2"/>
        <v>33000</v>
      </c>
      <c r="I16" s="24">
        <v>20000</v>
      </c>
      <c r="J16" s="24">
        <v>33000</v>
      </c>
      <c r="K16" s="24">
        <v>25000</v>
      </c>
      <c r="L16" s="24">
        <v>55000</v>
      </c>
    </row>
    <row r="17" spans="1:12">
      <c r="A17" s="10">
        <f t="shared" ca="1" si="0"/>
        <v>17</v>
      </c>
      <c r="B17" s="82" t="s">
        <v>471</v>
      </c>
      <c r="C17" s="10" t="s">
        <v>866</v>
      </c>
      <c r="D17" s="10" t="s">
        <v>51</v>
      </c>
      <c r="E17" s="83" t="s">
        <v>499</v>
      </c>
      <c r="F17" s="84">
        <v>43</v>
      </c>
      <c r="G17" s="24">
        <f t="shared" si="1"/>
        <v>40</v>
      </c>
      <c r="H17" s="24">
        <f t="shared" si="2"/>
        <v>1500</v>
      </c>
      <c r="I17" s="24">
        <v>40</v>
      </c>
      <c r="J17" s="24">
        <v>1500</v>
      </c>
      <c r="K17" s="24">
        <v>50</v>
      </c>
      <c r="L17" s="24">
        <v>2500</v>
      </c>
    </row>
    <row r="18" spans="1:12">
      <c r="A18" s="10">
        <f t="shared" ca="1" si="0"/>
        <v>24</v>
      </c>
      <c r="B18" s="82" t="s">
        <v>214</v>
      </c>
      <c r="C18" s="10" t="s">
        <v>867</v>
      </c>
      <c r="D18" s="10" t="s">
        <v>51</v>
      </c>
      <c r="E18" s="83" t="s">
        <v>759</v>
      </c>
      <c r="F18" s="84">
        <v>30</v>
      </c>
      <c r="G18" s="24">
        <f t="shared" si="1"/>
        <v>612</v>
      </c>
      <c r="H18" s="24">
        <f t="shared" si="2"/>
        <v>600.24</v>
      </c>
      <c r="I18" s="24">
        <v>612</v>
      </c>
      <c r="J18" s="24">
        <v>600.24</v>
      </c>
      <c r="K18" s="24">
        <v>680</v>
      </c>
      <c r="L18" s="24">
        <v>1000.4000000000001</v>
      </c>
    </row>
    <row r="19" spans="1:12">
      <c r="A19" s="10" t="str">
        <f t="shared" ca="1" si="0"/>
        <v/>
      </c>
      <c r="B19" s="82" t="s">
        <v>214</v>
      </c>
      <c r="C19" s="10" t="s">
        <v>868</v>
      </c>
      <c r="D19" s="10" t="s">
        <v>51</v>
      </c>
      <c r="E19" s="83" t="s">
        <v>760</v>
      </c>
      <c r="F19" s="84">
        <v>30</v>
      </c>
      <c r="G19" s="24">
        <f t="shared" si="1"/>
        <v>673.2</v>
      </c>
      <c r="H19" s="24">
        <f t="shared" si="2"/>
        <v>660.26400000000001</v>
      </c>
      <c r="I19" s="24">
        <v>673.2</v>
      </c>
      <c r="J19" s="24">
        <v>660.26400000000001</v>
      </c>
      <c r="K19" s="24">
        <v>748</v>
      </c>
      <c r="L19" s="24">
        <v>1100.44</v>
      </c>
    </row>
    <row r="20" spans="1:12">
      <c r="A20" s="10" t="str">
        <f t="shared" ca="1" si="0"/>
        <v/>
      </c>
      <c r="B20" s="82" t="s">
        <v>214</v>
      </c>
      <c r="C20" s="10" t="s">
        <v>869</v>
      </c>
      <c r="D20" s="10" t="s">
        <v>51</v>
      </c>
      <c r="E20" s="83" t="s">
        <v>753</v>
      </c>
      <c r="F20" s="84">
        <v>29</v>
      </c>
      <c r="G20" s="24">
        <f t="shared" si="1"/>
        <v>612</v>
      </c>
      <c r="H20" s="24">
        <f t="shared" si="2"/>
        <v>600.24</v>
      </c>
      <c r="I20" s="24">
        <v>612</v>
      </c>
      <c r="J20" s="24">
        <v>600.24</v>
      </c>
      <c r="K20" s="24">
        <v>680</v>
      </c>
      <c r="L20" s="24">
        <v>1000.4000000000001</v>
      </c>
    </row>
    <row r="21" spans="1:12">
      <c r="A21" s="10" t="str">
        <f t="shared" ca="1" si="0"/>
        <v/>
      </c>
      <c r="B21" s="82" t="s">
        <v>214</v>
      </c>
      <c r="C21" s="10" t="s">
        <v>870</v>
      </c>
      <c r="D21" s="10" t="s">
        <v>51</v>
      </c>
      <c r="E21" s="83" t="s">
        <v>688</v>
      </c>
      <c r="F21" s="84">
        <v>25</v>
      </c>
      <c r="G21" s="24">
        <f t="shared" si="1"/>
        <v>612</v>
      </c>
      <c r="H21" s="24">
        <f t="shared" si="2"/>
        <v>600.24</v>
      </c>
      <c r="I21" s="24">
        <v>612</v>
      </c>
      <c r="J21" s="24">
        <v>600.24</v>
      </c>
      <c r="K21" s="24">
        <v>680</v>
      </c>
      <c r="L21" s="24">
        <v>1000.4000000000001</v>
      </c>
    </row>
    <row r="22" spans="1:12">
      <c r="A22" s="10" t="str">
        <f t="shared" ca="1" si="0"/>
        <v/>
      </c>
      <c r="B22" s="82" t="s">
        <v>214</v>
      </c>
      <c r="C22" s="10" t="s">
        <v>871</v>
      </c>
      <c r="D22" s="10" t="s">
        <v>51</v>
      </c>
      <c r="E22" s="83" t="s">
        <v>756</v>
      </c>
      <c r="F22" s="84">
        <v>30</v>
      </c>
      <c r="G22" s="24">
        <f t="shared" si="1"/>
        <v>61.2</v>
      </c>
      <c r="H22" s="24">
        <f t="shared" si="2"/>
        <v>60.024000000000001</v>
      </c>
      <c r="I22" s="24">
        <v>61.2</v>
      </c>
      <c r="J22" s="24">
        <v>60.024000000000001</v>
      </c>
      <c r="K22" s="24">
        <v>68</v>
      </c>
      <c r="L22" s="24">
        <v>100.04</v>
      </c>
    </row>
    <row r="23" spans="1:12">
      <c r="A23" s="10" t="str">
        <f t="shared" ca="1" si="0"/>
        <v/>
      </c>
      <c r="B23" s="82" t="s">
        <v>214</v>
      </c>
      <c r="C23" s="10" t="s">
        <v>872</v>
      </c>
      <c r="D23" s="10" t="s">
        <v>51</v>
      </c>
      <c r="E23" s="83" t="s">
        <v>761</v>
      </c>
      <c r="F23" s="84">
        <v>20</v>
      </c>
      <c r="G23" s="24">
        <f t="shared" si="1"/>
        <v>306</v>
      </c>
      <c r="H23" s="24">
        <f t="shared" si="2"/>
        <v>300.12</v>
      </c>
      <c r="I23" s="24">
        <v>306</v>
      </c>
      <c r="J23" s="24">
        <v>300.12</v>
      </c>
      <c r="K23" s="24">
        <v>340</v>
      </c>
      <c r="L23" s="24">
        <v>500.20000000000005</v>
      </c>
    </row>
    <row r="24" spans="1:12">
      <c r="A24" s="10" t="str">
        <f t="shared" ca="1" si="0"/>
        <v/>
      </c>
      <c r="B24" s="82" t="s">
        <v>214</v>
      </c>
      <c r="C24" s="10" t="s">
        <v>873</v>
      </c>
      <c r="D24" s="10" t="s">
        <v>51</v>
      </c>
      <c r="E24" s="83" t="s">
        <v>762</v>
      </c>
      <c r="F24" s="84">
        <v>30</v>
      </c>
      <c r="G24" s="24">
        <f t="shared" si="1"/>
        <v>612</v>
      </c>
      <c r="H24" s="24">
        <f t="shared" si="2"/>
        <v>600.24</v>
      </c>
      <c r="I24" s="24">
        <v>612</v>
      </c>
      <c r="J24" s="24">
        <v>600.24</v>
      </c>
      <c r="K24" s="24">
        <v>680</v>
      </c>
      <c r="L24" s="24">
        <v>1000.4000000000001</v>
      </c>
    </row>
    <row r="25" spans="1:12">
      <c r="A25" s="10">
        <f t="shared" ca="1" si="0"/>
        <v>25</v>
      </c>
      <c r="B25" s="82" t="s">
        <v>199</v>
      </c>
      <c r="C25" s="10" t="s">
        <v>874</v>
      </c>
      <c r="D25" s="10" t="s">
        <v>48</v>
      </c>
      <c r="E25" s="83" t="s">
        <v>500</v>
      </c>
      <c r="F25" s="84">
        <v>52</v>
      </c>
      <c r="G25" s="24">
        <f t="shared" si="1"/>
        <v>70.2</v>
      </c>
      <c r="H25" s="24">
        <f t="shared" si="2"/>
        <v>1040</v>
      </c>
      <c r="I25" s="24">
        <v>70.2</v>
      </c>
      <c r="J25" s="24">
        <v>1040</v>
      </c>
      <c r="K25" s="24">
        <v>78</v>
      </c>
      <c r="L25" s="24">
        <v>1300</v>
      </c>
    </row>
    <row r="26" spans="1:12">
      <c r="A26" s="10">
        <f t="shared" ca="1" si="0"/>
        <v>26</v>
      </c>
      <c r="B26" s="82" t="s">
        <v>711</v>
      </c>
      <c r="C26" s="10" t="s">
        <v>875</v>
      </c>
      <c r="D26" s="10" t="s">
        <v>51</v>
      </c>
      <c r="E26" s="83" t="s">
        <v>763</v>
      </c>
      <c r="F26" s="84">
        <v>30</v>
      </c>
      <c r="G26" s="24">
        <f t="shared" si="1"/>
        <v>168</v>
      </c>
      <c r="H26" s="24">
        <f t="shared" si="2"/>
        <v>900</v>
      </c>
      <c r="I26" s="24">
        <v>168</v>
      </c>
      <c r="J26" s="24">
        <v>900</v>
      </c>
      <c r="K26" s="24">
        <v>240</v>
      </c>
      <c r="L26" s="24">
        <v>3000</v>
      </c>
    </row>
    <row r="27" spans="1:12">
      <c r="A27" s="10">
        <f t="shared" ca="1" si="0"/>
        <v>27</v>
      </c>
      <c r="B27" s="82" t="s">
        <v>198</v>
      </c>
      <c r="C27" s="10" t="s">
        <v>876</v>
      </c>
      <c r="D27" s="10" t="s">
        <v>37</v>
      </c>
      <c r="E27" s="83" t="s">
        <v>501</v>
      </c>
      <c r="F27" s="84">
        <v>41</v>
      </c>
      <c r="G27" s="24">
        <f t="shared" si="1"/>
        <v>500</v>
      </c>
      <c r="H27" s="24">
        <f t="shared" si="2"/>
        <v>9800</v>
      </c>
      <c r="I27" s="24">
        <v>500</v>
      </c>
      <c r="J27" s="24">
        <v>9800</v>
      </c>
      <c r="K27" s="24">
        <v>5000</v>
      </c>
      <c r="L27" s="24">
        <v>98000</v>
      </c>
    </row>
    <row r="28" spans="1:12">
      <c r="A28" s="10">
        <f t="shared" ca="1" si="0"/>
        <v>28</v>
      </c>
      <c r="B28" s="82" t="s">
        <v>201</v>
      </c>
      <c r="C28" s="10" t="s">
        <v>877</v>
      </c>
      <c r="D28" s="10" t="s">
        <v>50</v>
      </c>
      <c r="E28" s="83" t="s">
        <v>502</v>
      </c>
      <c r="F28" s="84">
        <v>22</v>
      </c>
      <c r="G28" s="24">
        <f t="shared" si="1"/>
        <v>3.6</v>
      </c>
      <c r="H28" s="24">
        <f t="shared" si="2"/>
        <v>14</v>
      </c>
      <c r="I28" s="24">
        <v>3.6</v>
      </c>
      <c r="J28" s="24">
        <v>14</v>
      </c>
      <c r="K28" s="24">
        <v>4</v>
      </c>
      <c r="L28" s="24">
        <v>20</v>
      </c>
    </row>
    <row r="29" spans="1:12">
      <c r="A29" s="10">
        <f t="shared" ca="1" si="0"/>
        <v>32</v>
      </c>
      <c r="B29" s="82" t="s">
        <v>202</v>
      </c>
      <c r="C29" s="10" t="s">
        <v>878</v>
      </c>
      <c r="D29" s="10" t="s">
        <v>36</v>
      </c>
      <c r="E29" s="83" t="s">
        <v>503</v>
      </c>
      <c r="F29" s="84">
        <v>42</v>
      </c>
      <c r="G29" s="24">
        <f t="shared" si="1"/>
        <v>96000</v>
      </c>
      <c r="H29" s="24">
        <f t="shared" si="2"/>
        <v>9600</v>
      </c>
      <c r="I29" s="24">
        <v>96000</v>
      </c>
      <c r="J29" s="24">
        <v>9600</v>
      </c>
      <c r="K29" s="24">
        <v>480000</v>
      </c>
      <c r="L29" s="24">
        <v>48000</v>
      </c>
    </row>
    <row r="30" spans="1:12">
      <c r="A30" s="10" t="str">
        <f t="shared" ca="1" si="0"/>
        <v/>
      </c>
      <c r="B30" s="82" t="s">
        <v>202</v>
      </c>
      <c r="C30" s="10" t="s">
        <v>879</v>
      </c>
      <c r="D30" s="10" t="s">
        <v>36</v>
      </c>
      <c r="E30" s="83" t="s">
        <v>504</v>
      </c>
      <c r="F30" s="84">
        <v>22</v>
      </c>
      <c r="G30" s="24">
        <f t="shared" si="1"/>
        <v>96000</v>
      </c>
      <c r="H30" s="24">
        <f t="shared" si="2"/>
        <v>9600</v>
      </c>
      <c r="I30" s="24">
        <v>96000</v>
      </c>
      <c r="J30" s="24">
        <v>9600</v>
      </c>
      <c r="K30" s="24">
        <v>480000</v>
      </c>
      <c r="L30" s="24">
        <v>48000</v>
      </c>
    </row>
    <row r="31" spans="1:12">
      <c r="A31" s="10" t="str">
        <f t="shared" ca="1" si="0"/>
        <v/>
      </c>
      <c r="B31" s="82" t="s">
        <v>202</v>
      </c>
      <c r="C31" s="10" t="s">
        <v>880</v>
      </c>
      <c r="D31" s="10" t="s">
        <v>36</v>
      </c>
      <c r="E31" s="83" t="s">
        <v>505</v>
      </c>
      <c r="F31" s="84">
        <v>55</v>
      </c>
      <c r="G31" s="24">
        <f t="shared" si="1"/>
        <v>96000</v>
      </c>
      <c r="H31" s="24">
        <f t="shared" si="2"/>
        <v>9600</v>
      </c>
      <c r="I31" s="24">
        <v>96000</v>
      </c>
      <c r="J31" s="24">
        <v>9600</v>
      </c>
      <c r="K31" s="24">
        <v>480000</v>
      </c>
      <c r="L31" s="24">
        <v>48000</v>
      </c>
    </row>
    <row r="32" spans="1:12">
      <c r="A32" s="10" t="str">
        <f t="shared" ca="1" si="0"/>
        <v/>
      </c>
      <c r="B32" s="82" t="s">
        <v>202</v>
      </c>
      <c r="C32" s="10" t="s">
        <v>881</v>
      </c>
      <c r="D32" s="10" t="s">
        <v>36</v>
      </c>
      <c r="E32" s="83" t="s">
        <v>764</v>
      </c>
      <c r="F32" s="84">
        <v>47</v>
      </c>
      <c r="G32" s="24">
        <f t="shared" si="1"/>
        <v>1600</v>
      </c>
      <c r="H32" s="24">
        <f t="shared" si="2"/>
        <v>160</v>
      </c>
      <c r="I32" s="24">
        <v>1600</v>
      </c>
      <c r="J32" s="24">
        <v>160</v>
      </c>
      <c r="K32" s="24">
        <v>8000</v>
      </c>
      <c r="L32" s="24">
        <v>800</v>
      </c>
    </row>
    <row r="33" spans="1:12">
      <c r="A33" s="10">
        <f t="shared" ca="1" si="0"/>
        <v>33</v>
      </c>
      <c r="B33" s="82" t="s">
        <v>200</v>
      </c>
      <c r="C33" s="10" t="s">
        <v>882</v>
      </c>
      <c r="D33" s="10" t="s">
        <v>49</v>
      </c>
      <c r="E33" s="83" t="s">
        <v>765</v>
      </c>
      <c r="F33" s="84">
        <v>56</v>
      </c>
      <c r="G33" s="24">
        <f t="shared" si="1"/>
        <v>700</v>
      </c>
      <c r="H33" s="24">
        <f t="shared" si="2"/>
        <v>2000</v>
      </c>
      <c r="I33" s="24">
        <v>700</v>
      </c>
      <c r="J33" s="24">
        <v>2000</v>
      </c>
      <c r="K33" s="24">
        <v>1000</v>
      </c>
      <c r="L33" s="24">
        <v>10000</v>
      </c>
    </row>
    <row r="34" spans="1:12">
      <c r="A34" s="10">
        <f t="shared" ca="1" si="0"/>
        <v>34</v>
      </c>
      <c r="B34" s="82" t="s">
        <v>207</v>
      </c>
      <c r="C34" s="10" t="s">
        <v>883</v>
      </c>
      <c r="D34" s="10" t="s">
        <v>36</v>
      </c>
      <c r="E34" s="83" t="s">
        <v>506</v>
      </c>
      <c r="F34" s="84">
        <v>35</v>
      </c>
      <c r="G34" s="24">
        <f t="shared" si="1"/>
        <v>6000</v>
      </c>
      <c r="H34" s="24">
        <f t="shared" si="2"/>
        <v>14400</v>
      </c>
      <c r="I34" s="24">
        <v>6000</v>
      </c>
      <c r="J34" s="24">
        <v>14400</v>
      </c>
      <c r="K34" s="24">
        <v>20000</v>
      </c>
      <c r="L34" s="24">
        <v>48000</v>
      </c>
    </row>
    <row r="35" spans="1:12">
      <c r="A35" s="10">
        <f t="shared" ca="1" si="0"/>
        <v>35</v>
      </c>
      <c r="B35" s="82" t="s">
        <v>712</v>
      </c>
      <c r="C35" s="10" t="s">
        <v>884</v>
      </c>
      <c r="D35" s="10" t="s">
        <v>51</v>
      </c>
      <c r="E35" s="83" t="s">
        <v>766</v>
      </c>
      <c r="F35" s="84">
        <v>25</v>
      </c>
      <c r="G35" s="24">
        <f t="shared" si="1"/>
        <v>84</v>
      </c>
      <c r="H35" s="24">
        <f t="shared" si="2"/>
        <v>1050</v>
      </c>
      <c r="I35" s="24">
        <v>84</v>
      </c>
      <c r="J35" s="24">
        <v>1050</v>
      </c>
      <c r="K35" s="24">
        <v>120</v>
      </c>
      <c r="L35" s="24">
        <v>1500</v>
      </c>
    </row>
    <row r="36" spans="1:12">
      <c r="A36" s="10">
        <f t="shared" ca="1" si="0"/>
        <v>37</v>
      </c>
      <c r="B36" s="82" t="s">
        <v>713</v>
      </c>
      <c r="C36" s="10" t="s">
        <v>885</v>
      </c>
      <c r="D36" s="10" t="s">
        <v>51</v>
      </c>
      <c r="E36" s="83" t="s">
        <v>767</v>
      </c>
      <c r="F36" s="84">
        <v>25</v>
      </c>
      <c r="G36" s="24">
        <f t="shared" si="1"/>
        <v>29.4</v>
      </c>
      <c r="H36" s="24">
        <f t="shared" si="2"/>
        <v>262.5</v>
      </c>
      <c r="I36" s="24">
        <v>29.4</v>
      </c>
      <c r="J36" s="24">
        <v>262.5</v>
      </c>
      <c r="K36" s="24">
        <v>42</v>
      </c>
      <c r="L36" s="24">
        <v>525</v>
      </c>
    </row>
    <row r="37" spans="1:12">
      <c r="A37" s="10" t="str">
        <f t="shared" ca="1" si="0"/>
        <v/>
      </c>
      <c r="B37" s="82" t="s">
        <v>713</v>
      </c>
      <c r="C37" s="10" t="s">
        <v>886</v>
      </c>
      <c r="D37" s="10" t="s">
        <v>51</v>
      </c>
      <c r="E37" s="83" t="s">
        <v>665</v>
      </c>
      <c r="F37" s="84">
        <v>30</v>
      </c>
      <c r="G37" s="24">
        <f t="shared" si="1"/>
        <v>0.84</v>
      </c>
      <c r="H37" s="24">
        <f t="shared" si="2"/>
        <v>7.5</v>
      </c>
      <c r="I37" s="24">
        <v>0.84</v>
      </c>
      <c r="J37" s="24">
        <v>7.5</v>
      </c>
      <c r="K37" s="24">
        <v>1.2</v>
      </c>
      <c r="L37" s="24">
        <v>15</v>
      </c>
    </row>
    <row r="38" spans="1:12">
      <c r="A38" s="10">
        <f t="shared" ca="1" si="0"/>
        <v>38</v>
      </c>
      <c r="B38" s="82" t="s">
        <v>714</v>
      </c>
      <c r="C38" s="10" t="s">
        <v>887</v>
      </c>
      <c r="D38" s="10" t="s">
        <v>51</v>
      </c>
      <c r="E38" s="83" t="s">
        <v>665</v>
      </c>
      <c r="F38" s="84">
        <v>30</v>
      </c>
      <c r="G38" s="24">
        <f t="shared" si="1"/>
        <v>0.42000000000000004</v>
      </c>
      <c r="H38" s="24">
        <f t="shared" si="2"/>
        <v>10</v>
      </c>
      <c r="I38" s="24">
        <v>0.42000000000000004</v>
      </c>
      <c r="J38" s="24">
        <v>10</v>
      </c>
      <c r="K38" s="24">
        <v>0.60000000000000009</v>
      </c>
      <c r="L38" s="24">
        <v>20</v>
      </c>
    </row>
    <row r="39" spans="1:12">
      <c r="A39" s="10">
        <f t="shared" ca="1" si="0"/>
        <v>39</v>
      </c>
      <c r="B39" s="82" t="s">
        <v>715</v>
      </c>
      <c r="C39" s="10" t="s">
        <v>888</v>
      </c>
      <c r="D39" s="10" t="s">
        <v>53</v>
      </c>
      <c r="E39" s="83" t="s">
        <v>768</v>
      </c>
      <c r="F39" s="84">
        <v>30</v>
      </c>
      <c r="G39" s="24">
        <f t="shared" si="1"/>
        <v>36</v>
      </c>
      <c r="H39" s="24">
        <f t="shared" si="2"/>
        <v>640</v>
      </c>
      <c r="I39" s="24">
        <v>36</v>
      </c>
      <c r="J39" s="24">
        <v>640</v>
      </c>
      <c r="K39" s="24">
        <v>45</v>
      </c>
      <c r="L39" s="24">
        <v>800</v>
      </c>
    </row>
    <row r="40" spans="1:12">
      <c r="A40" s="10">
        <f t="shared" ca="1" si="0"/>
        <v>43</v>
      </c>
      <c r="B40" s="82" t="s">
        <v>224</v>
      </c>
      <c r="C40" s="10" t="s">
        <v>889</v>
      </c>
      <c r="D40" s="10" t="s">
        <v>51</v>
      </c>
      <c r="E40" s="83" t="s">
        <v>769</v>
      </c>
      <c r="F40" s="84">
        <v>30</v>
      </c>
      <c r="G40" s="24">
        <f t="shared" si="1"/>
        <v>15.120000000000001</v>
      </c>
      <c r="H40" s="24">
        <f t="shared" si="2"/>
        <v>252</v>
      </c>
      <c r="I40" s="24">
        <v>15.120000000000001</v>
      </c>
      <c r="J40" s="24">
        <v>252</v>
      </c>
      <c r="K40" s="24">
        <v>16.8</v>
      </c>
      <c r="L40" s="24">
        <v>280</v>
      </c>
    </row>
    <row r="41" spans="1:12">
      <c r="A41" s="10" t="str">
        <f t="shared" ca="1" si="0"/>
        <v/>
      </c>
      <c r="B41" s="82" t="s">
        <v>224</v>
      </c>
      <c r="C41" s="10" t="s">
        <v>890</v>
      </c>
      <c r="D41" s="10" t="s">
        <v>51</v>
      </c>
      <c r="E41" s="83" t="s">
        <v>507</v>
      </c>
      <c r="F41" s="84">
        <v>20</v>
      </c>
      <c r="G41" s="24">
        <f t="shared" si="1"/>
        <v>25.919999999999998</v>
      </c>
      <c r="H41" s="24">
        <f t="shared" si="2"/>
        <v>432</v>
      </c>
      <c r="I41" s="24">
        <v>25.919999999999998</v>
      </c>
      <c r="J41" s="24">
        <v>432</v>
      </c>
      <c r="K41" s="24">
        <v>28.799999999999997</v>
      </c>
      <c r="L41" s="24">
        <v>480</v>
      </c>
    </row>
    <row r="42" spans="1:12">
      <c r="A42" s="10" t="str">
        <f t="shared" ca="1" si="0"/>
        <v/>
      </c>
      <c r="B42" s="82" t="s">
        <v>224</v>
      </c>
      <c r="C42" s="10" t="s">
        <v>891</v>
      </c>
      <c r="D42" s="10" t="s">
        <v>51</v>
      </c>
      <c r="E42" s="83" t="s">
        <v>508</v>
      </c>
      <c r="F42" s="84">
        <v>29</v>
      </c>
      <c r="G42" s="24">
        <f t="shared" si="1"/>
        <v>14.040000000000001</v>
      </c>
      <c r="H42" s="24">
        <f t="shared" si="2"/>
        <v>234</v>
      </c>
      <c r="I42" s="24">
        <v>14.040000000000001</v>
      </c>
      <c r="J42" s="24">
        <v>234</v>
      </c>
      <c r="K42" s="24">
        <v>15.600000000000001</v>
      </c>
      <c r="L42" s="24">
        <v>260</v>
      </c>
    </row>
    <row r="43" spans="1:12">
      <c r="A43" s="10" t="str">
        <f t="shared" ca="1" si="0"/>
        <v/>
      </c>
      <c r="B43" s="82" t="s">
        <v>224</v>
      </c>
      <c r="C43" s="10" t="s">
        <v>892</v>
      </c>
      <c r="D43" s="10" t="s">
        <v>51</v>
      </c>
      <c r="E43" s="83" t="s">
        <v>509</v>
      </c>
      <c r="F43" s="84">
        <v>29</v>
      </c>
      <c r="G43" s="24">
        <f t="shared" si="1"/>
        <v>17.28</v>
      </c>
      <c r="H43" s="24">
        <f t="shared" si="2"/>
        <v>288</v>
      </c>
      <c r="I43" s="24">
        <v>17.28</v>
      </c>
      <c r="J43" s="24">
        <v>288</v>
      </c>
      <c r="K43" s="24">
        <v>19.2</v>
      </c>
      <c r="L43" s="24">
        <v>320</v>
      </c>
    </row>
    <row r="44" spans="1:12">
      <c r="A44" s="10">
        <f t="shared" ca="1" si="0"/>
        <v>44</v>
      </c>
      <c r="B44" s="82" t="s">
        <v>716</v>
      </c>
      <c r="C44" s="10" t="s">
        <v>893</v>
      </c>
      <c r="D44" s="10" t="s">
        <v>52</v>
      </c>
      <c r="E44" s="83" t="s">
        <v>770</v>
      </c>
      <c r="F44" s="84">
        <v>80</v>
      </c>
      <c r="G44" s="24">
        <f t="shared" si="1"/>
        <v>22.5</v>
      </c>
      <c r="H44" s="24">
        <f t="shared" si="2"/>
        <v>2400</v>
      </c>
      <c r="I44" s="24">
        <v>22.5</v>
      </c>
      <c r="J44" s="24">
        <v>2400</v>
      </c>
      <c r="K44" s="24">
        <v>45</v>
      </c>
      <c r="L44" s="24">
        <v>3000</v>
      </c>
    </row>
    <row r="45" spans="1:12">
      <c r="A45" s="10">
        <f t="shared" ca="1" si="0"/>
        <v>45</v>
      </c>
      <c r="B45" s="82" t="s">
        <v>717</v>
      </c>
      <c r="C45" s="10" t="s">
        <v>894</v>
      </c>
      <c r="D45" s="10" t="s">
        <v>51</v>
      </c>
      <c r="E45" s="83" t="s">
        <v>771</v>
      </c>
      <c r="F45" s="84">
        <v>30</v>
      </c>
      <c r="G45" s="24">
        <f t="shared" si="1"/>
        <v>45</v>
      </c>
      <c r="H45" s="24">
        <f t="shared" si="2"/>
        <v>135</v>
      </c>
      <c r="I45" s="24">
        <v>45</v>
      </c>
      <c r="J45" s="24">
        <v>135</v>
      </c>
      <c r="K45" s="24">
        <v>50</v>
      </c>
      <c r="L45" s="24">
        <v>150</v>
      </c>
    </row>
    <row r="46" spans="1:12">
      <c r="A46" s="10">
        <f t="shared" ca="1" si="0"/>
        <v>46</v>
      </c>
      <c r="B46" s="82" t="s">
        <v>278</v>
      </c>
      <c r="C46" s="10" t="s">
        <v>895</v>
      </c>
      <c r="D46" s="10" t="s">
        <v>47</v>
      </c>
      <c r="E46" s="83" t="s">
        <v>510</v>
      </c>
      <c r="F46" s="84">
        <v>2</v>
      </c>
      <c r="G46" s="24">
        <f t="shared" si="1"/>
        <v>1157.0625</v>
      </c>
      <c r="H46" s="24">
        <f t="shared" si="2"/>
        <v>0</v>
      </c>
      <c r="I46" s="24">
        <v>1157.0625</v>
      </c>
      <c r="J46" s="24">
        <v>0</v>
      </c>
      <c r="K46" s="24">
        <v>1157.0625</v>
      </c>
      <c r="L46" s="24">
        <v>0</v>
      </c>
    </row>
    <row r="47" spans="1:12">
      <c r="A47" s="10">
        <f t="shared" ca="1" si="0"/>
        <v>48</v>
      </c>
      <c r="B47" s="82" t="s">
        <v>472</v>
      </c>
      <c r="C47" s="10" t="s">
        <v>896</v>
      </c>
      <c r="D47" s="10" t="s">
        <v>47</v>
      </c>
      <c r="E47" s="83" t="s">
        <v>511</v>
      </c>
      <c r="F47" s="84">
        <v>2</v>
      </c>
      <c r="G47" s="24">
        <f t="shared" si="1"/>
        <v>5157.375</v>
      </c>
      <c r="H47" s="24">
        <f t="shared" si="2"/>
        <v>0</v>
      </c>
      <c r="I47" s="24">
        <v>5157.375</v>
      </c>
      <c r="J47" s="24">
        <v>0</v>
      </c>
      <c r="K47" s="24">
        <v>5157.375</v>
      </c>
      <c r="L47" s="24">
        <v>0</v>
      </c>
    </row>
    <row r="48" spans="1:12">
      <c r="A48" s="10" t="str">
        <f t="shared" ca="1" si="0"/>
        <v/>
      </c>
      <c r="B48" s="82" t="s">
        <v>472</v>
      </c>
      <c r="C48" s="10" t="s">
        <v>897</v>
      </c>
      <c r="D48" s="10" t="s">
        <v>47</v>
      </c>
      <c r="E48" s="83" t="s">
        <v>512</v>
      </c>
      <c r="F48" s="84">
        <v>1</v>
      </c>
      <c r="G48" s="24">
        <f t="shared" si="1"/>
        <v>5157.375</v>
      </c>
      <c r="H48" s="24">
        <f t="shared" si="2"/>
        <v>0</v>
      </c>
      <c r="I48" s="24">
        <v>5157.375</v>
      </c>
      <c r="J48" s="24">
        <v>0</v>
      </c>
      <c r="K48" s="24">
        <v>5157.375</v>
      </c>
      <c r="L48" s="24">
        <v>0</v>
      </c>
    </row>
    <row r="49" spans="1:12">
      <c r="A49" s="10">
        <f t="shared" ca="1" si="0"/>
        <v>52</v>
      </c>
      <c r="B49" s="82" t="s">
        <v>293</v>
      </c>
      <c r="C49" s="10" t="s">
        <v>898</v>
      </c>
      <c r="D49" s="10" t="s">
        <v>47</v>
      </c>
      <c r="E49" s="83" t="s">
        <v>513</v>
      </c>
      <c r="F49" s="84">
        <v>1</v>
      </c>
      <c r="G49" s="24">
        <f t="shared" si="1"/>
        <v>3172.5</v>
      </c>
      <c r="H49" s="24">
        <f t="shared" si="2"/>
        <v>0</v>
      </c>
      <c r="I49" s="24">
        <v>3172.5</v>
      </c>
      <c r="J49" s="24">
        <v>0</v>
      </c>
      <c r="K49" s="24">
        <v>3172.5</v>
      </c>
      <c r="L49" s="24">
        <v>0</v>
      </c>
    </row>
    <row r="50" spans="1:12">
      <c r="A50" s="10" t="str">
        <f t="shared" ca="1" si="0"/>
        <v/>
      </c>
      <c r="B50" s="82" t="s">
        <v>293</v>
      </c>
      <c r="C50" s="10" t="s">
        <v>899</v>
      </c>
      <c r="D50" s="10" t="s">
        <v>47</v>
      </c>
      <c r="E50" s="83" t="s">
        <v>514</v>
      </c>
      <c r="F50" s="84">
        <v>2</v>
      </c>
      <c r="G50" s="24">
        <f t="shared" si="1"/>
        <v>3172.5</v>
      </c>
      <c r="H50" s="24">
        <f t="shared" si="2"/>
        <v>0</v>
      </c>
      <c r="I50" s="24">
        <v>3172.5</v>
      </c>
      <c r="J50" s="24">
        <v>0</v>
      </c>
      <c r="K50" s="24">
        <v>3172.5</v>
      </c>
      <c r="L50" s="24">
        <v>0</v>
      </c>
    </row>
    <row r="51" spans="1:12">
      <c r="A51" s="10" t="str">
        <f t="shared" ca="1" si="0"/>
        <v/>
      </c>
      <c r="B51" s="82" t="s">
        <v>293</v>
      </c>
      <c r="C51" s="10" t="s">
        <v>900</v>
      </c>
      <c r="D51" s="10" t="s">
        <v>47</v>
      </c>
      <c r="E51" s="83" t="s">
        <v>772</v>
      </c>
      <c r="F51" s="84">
        <v>1</v>
      </c>
      <c r="G51" s="24">
        <f t="shared" si="1"/>
        <v>3172.5</v>
      </c>
      <c r="H51" s="24">
        <f t="shared" si="2"/>
        <v>0</v>
      </c>
      <c r="I51" s="24">
        <v>3172.5</v>
      </c>
      <c r="J51" s="24">
        <v>0</v>
      </c>
      <c r="K51" s="24">
        <v>3172.5</v>
      </c>
      <c r="L51" s="24">
        <v>0</v>
      </c>
    </row>
    <row r="52" spans="1:12">
      <c r="A52" s="10" t="str">
        <f t="shared" ca="1" si="0"/>
        <v/>
      </c>
      <c r="B52" s="82" t="s">
        <v>293</v>
      </c>
      <c r="C52" s="10" t="s">
        <v>901</v>
      </c>
      <c r="D52" s="10" t="s">
        <v>47</v>
      </c>
      <c r="E52" s="83" t="s">
        <v>515</v>
      </c>
      <c r="F52" s="84">
        <v>1</v>
      </c>
      <c r="G52" s="24">
        <f t="shared" si="1"/>
        <v>3172.5</v>
      </c>
      <c r="H52" s="24">
        <f t="shared" si="2"/>
        <v>0</v>
      </c>
      <c r="I52" s="24">
        <v>3172.5</v>
      </c>
      <c r="J52" s="24">
        <v>0</v>
      </c>
      <c r="K52" s="24">
        <v>3172.5</v>
      </c>
      <c r="L52" s="24">
        <v>0</v>
      </c>
    </row>
    <row r="53" spans="1:12">
      <c r="A53" s="10">
        <f t="shared" ca="1" si="0"/>
        <v>53</v>
      </c>
      <c r="B53" s="82" t="s">
        <v>270</v>
      </c>
      <c r="C53" s="10" t="s">
        <v>902</v>
      </c>
      <c r="D53" s="10" t="s">
        <v>46</v>
      </c>
      <c r="E53" s="83" t="s">
        <v>516</v>
      </c>
      <c r="F53" s="84">
        <v>1</v>
      </c>
      <c r="G53" s="24">
        <f t="shared" si="1"/>
        <v>45.15</v>
      </c>
      <c r="H53" s="24">
        <f t="shared" si="2"/>
        <v>0</v>
      </c>
      <c r="I53" s="24">
        <v>45.15</v>
      </c>
      <c r="J53" s="24">
        <v>0</v>
      </c>
      <c r="K53" s="24">
        <v>45.15</v>
      </c>
      <c r="L53" s="24">
        <v>0</v>
      </c>
    </row>
    <row r="54" spans="1:12">
      <c r="A54" s="10">
        <f t="shared" ca="1" si="0"/>
        <v>55</v>
      </c>
      <c r="B54" s="82" t="s">
        <v>211</v>
      </c>
      <c r="C54" s="10" t="s">
        <v>903</v>
      </c>
      <c r="D54" s="10" t="s">
        <v>47</v>
      </c>
      <c r="E54" s="83" t="s">
        <v>513</v>
      </c>
      <c r="F54" s="84">
        <v>1</v>
      </c>
      <c r="G54" s="24">
        <f t="shared" si="1"/>
        <v>4165.0874999999996</v>
      </c>
      <c r="H54" s="24">
        <f t="shared" si="2"/>
        <v>0</v>
      </c>
      <c r="I54" s="24">
        <v>4165.0874999999996</v>
      </c>
      <c r="J54" s="24">
        <v>0</v>
      </c>
      <c r="K54" s="24">
        <v>4165.0874999999996</v>
      </c>
      <c r="L54" s="24">
        <v>0</v>
      </c>
    </row>
    <row r="55" spans="1:12">
      <c r="A55" s="10" t="str">
        <f t="shared" ca="1" si="0"/>
        <v/>
      </c>
      <c r="B55" s="82" t="s">
        <v>211</v>
      </c>
      <c r="C55" s="10" t="s">
        <v>904</v>
      </c>
      <c r="D55" s="10" t="s">
        <v>47</v>
      </c>
      <c r="E55" s="83" t="s">
        <v>517</v>
      </c>
      <c r="F55" s="84">
        <v>1</v>
      </c>
      <c r="G55" s="24">
        <f t="shared" si="1"/>
        <v>1190.0250000000001</v>
      </c>
      <c r="H55" s="24">
        <f t="shared" si="2"/>
        <v>0</v>
      </c>
      <c r="I55" s="24">
        <v>1190.0250000000001</v>
      </c>
      <c r="J55" s="24">
        <v>0</v>
      </c>
      <c r="K55" s="24">
        <v>1190.0250000000001</v>
      </c>
      <c r="L55" s="24">
        <v>0</v>
      </c>
    </row>
    <row r="56" spans="1:12">
      <c r="A56" s="10">
        <f t="shared" ca="1" si="0"/>
        <v>69</v>
      </c>
      <c r="B56" s="82" t="s">
        <v>245</v>
      </c>
      <c r="C56" s="10" t="s">
        <v>905</v>
      </c>
      <c r="D56" s="10" t="s">
        <v>47</v>
      </c>
      <c r="E56" s="83" t="s">
        <v>518</v>
      </c>
      <c r="F56" s="84">
        <v>1</v>
      </c>
      <c r="G56" s="24">
        <f t="shared" si="1"/>
        <v>2255.7975000000001</v>
      </c>
      <c r="H56" s="24">
        <f t="shared" si="2"/>
        <v>0</v>
      </c>
      <c r="I56" s="24">
        <v>2255.7975000000001</v>
      </c>
      <c r="J56" s="24">
        <v>0</v>
      </c>
      <c r="K56" s="24">
        <v>2255.7975000000001</v>
      </c>
      <c r="L56" s="24">
        <v>0</v>
      </c>
    </row>
    <row r="57" spans="1:12">
      <c r="A57" s="10" t="str">
        <f t="shared" ca="1" si="0"/>
        <v/>
      </c>
      <c r="B57" s="82" t="s">
        <v>245</v>
      </c>
      <c r="C57" s="10" t="s">
        <v>906</v>
      </c>
      <c r="D57" s="10" t="s">
        <v>47</v>
      </c>
      <c r="E57" s="83" t="s">
        <v>519</v>
      </c>
      <c r="F57" s="84">
        <v>1</v>
      </c>
      <c r="G57" s="24">
        <f t="shared" si="1"/>
        <v>9843.48</v>
      </c>
      <c r="H57" s="24">
        <f t="shared" si="2"/>
        <v>0</v>
      </c>
      <c r="I57" s="24">
        <v>9843.48</v>
      </c>
      <c r="J57" s="24">
        <v>0</v>
      </c>
      <c r="K57" s="24">
        <v>9843.48</v>
      </c>
      <c r="L57" s="24">
        <v>0</v>
      </c>
    </row>
    <row r="58" spans="1:12">
      <c r="A58" s="10" t="str">
        <f t="shared" ca="1" si="0"/>
        <v/>
      </c>
      <c r="B58" s="82" t="s">
        <v>245</v>
      </c>
      <c r="C58" s="10" t="s">
        <v>907</v>
      </c>
      <c r="D58" s="10" t="s">
        <v>47</v>
      </c>
      <c r="E58" s="83" t="s">
        <v>520</v>
      </c>
      <c r="F58" s="84">
        <v>1</v>
      </c>
      <c r="G58" s="24">
        <f t="shared" si="1"/>
        <v>2050.7250000000004</v>
      </c>
      <c r="H58" s="24">
        <f t="shared" si="2"/>
        <v>0</v>
      </c>
      <c r="I58" s="24">
        <v>2050.7250000000004</v>
      </c>
      <c r="J58" s="24">
        <v>0</v>
      </c>
      <c r="K58" s="24">
        <v>2050.7250000000004</v>
      </c>
      <c r="L58" s="24">
        <v>0</v>
      </c>
    </row>
    <row r="59" spans="1:12">
      <c r="A59" s="10" t="str">
        <f t="shared" ca="1" si="0"/>
        <v/>
      </c>
      <c r="B59" s="82" t="s">
        <v>245</v>
      </c>
      <c r="C59" s="10" t="s">
        <v>908</v>
      </c>
      <c r="D59" s="10" t="s">
        <v>47</v>
      </c>
      <c r="E59" s="83" t="s">
        <v>513</v>
      </c>
      <c r="F59" s="84">
        <v>1</v>
      </c>
      <c r="G59" s="24">
        <f t="shared" si="1"/>
        <v>3486.2325000000001</v>
      </c>
      <c r="H59" s="24">
        <f t="shared" si="2"/>
        <v>0</v>
      </c>
      <c r="I59" s="24">
        <v>3486.2325000000001</v>
      </c>
      <c r="J59" s="24">
        <v>0</v>
      </c>
      <c r="K59" s="24">
        <v>3486.2325000000001</v>
      </c>
      <c r="L59" s="24">
        <v>0</v>
      </c>
    </row>
    <row r="60" spans="1:12">
      <c r="A60" s="10" t="str">
        <f t="shared" ca="1" si="0"/>
        <v/>
      </c>
      <c r="B60" s="82" t="s">
        <v>245</v>
      </c>
      <c r="C60" s="10" t="s">
        <v>909</v>
      </c>
      <c r="D60" s="10" t="s">
        <v>47</v>
      </c>
      <c r="E60" s="83" t="s">
        <v>521</v>
      </c>
      <c r="F60" s="84">
        <v>1</v>
      </c>
      <c r="G60" s="24">
        <f t="shared" si="1"/>
        <v>2050.7250000000004</v>
      </c>
      <c r="H60" s="24">
        <f t="shared" si="2"/>
        <v>0</v>
      </c>
      <c r="I60" s="24">
        <v>2050.7250000000004</v>
      </c>
      <c r="J60" s="24">
        <v>0</v>
      </c>
      <c r="K60" s="24">
        <v>2050.7250000000004</v>
      </c>
      <c r="L60" s="24">
        <v>0</v>
      </c>
    </row>
    <row r="61" spans="1:12">
      <c r="A61" s="10" t="str">
        <f t="shared" ca="1" si="0"/>
        <v/>
      </c>
      <c r="B61" s="82" t="s">
        <v>245</v>
      </c>
      <c r="C61" s="10" t="s">
        <v>910</v>
      </c>
      <c r="D61" s="10" t="s">
        <v>47</v>
      </c>
      <c r="E61" s="83" t="s">
        <v>522</v>
      </c>
      <c r="F61" s="84">
        <v>2</v>
      </c>
      <c r="G61" s="24">
        <f t="shared" si="1"/>
        <v>2050.7250000000004</v>
      </c>
      <c r="H61" s="24">
        <f t="shared" si="2"/>
        <v>0</v>
      </c>
      <c r="I61" s="24">
        <v>2050.7250000000004</v>
      </c>
      <c r="J61" s="24">
        <v>0</v>
      </c>
      <c r="K61" s="24">
        <v>2050.7250000000004</v>
      </c>
      <c r="L61" s="24">
        <v>0</v>
      </c>
    </row>
    <row r="62" spans="1:12">
      <c r="A62" s="10" t="str">
        <f t="shared" ca="1" si="0"/>
        <v/>
      </c>
      <c r="B62" s="82" t="s">
        <v>245</v>
      </c>
      <c r="C62" s="10" t="s">
        <v>911</v>
      </c>
      <c r="D62" s="10" t="s">
        <v>47</v>
      </c>
      <c r="E62" s="83" t="s">
        <v>511</v>
      </c>
      <c r="F62" s="84">
        <v>1</v>
      </c>
      <c r="G62" s="24">
        <f t="shared" si="1"/>
        <v>12304.349999999999</v>
      </c>
      <c r="H62" s="24">
        <f t="shared" si="2"/>
        <v>0</v>
      </c>
      <c r="I62" s="24">
        <v>12304.349999999999</v>
      </c>
      <c r="J62" s="24">
        <v>0</v>
      </c>
      <c r="K62" s="24">
        <v>12304.349999999999</v>
      </c>
      <c r="L62" s="24">
        <v>0</v>
      </c>
    </row>
    <row r="63" spans="1:12">
      <c r="A63" s="10" t="str">
        <f t="shared" ca="1" si="0"/>
        <v/>
      </c>
      <c r="B63" s="82" t="s">
        <v>245</v>
      </c>
      <c r="C63" s="10" t="s">
        <v>912</v>
      </c>
      <c r="D63" s="10" t="s">
        <v>47</v>
      </c>
      <c r="E63" s="83" t="s">
        <v>512</v>
      </c>
      <c r="F63" s="84">
        <v>1</v>
      </c>
      <c r="G63" s="24">
        <f t="shared" si="1"/>
        <v>14355.074999999999</v>
      </c>
      <c r="H63" s="24">
        <f t="shared" si="2"/>
        <v>0</v>
      </c>
      <c r="I63" s="24">
        <v>14355.074999999999</v>
      </c>
      <c r="J63" s="24">
        <v>0</v>
      </c>
      <c r="K63" s="24">
        <v>14355.074999999999</v>
      </c>
      <c r="L63" s="24">
        <v>0</v>
      </c>
    </row>
    <row r="64" spans="1:12">
      <c r="A64" s="10" t="str">
        <f t="shared" ca="1" si="0"/>
        <v/>
      </c>
      <c r="B64" s="82" t="s">
        <v>245</v>
      </c>
      <c r="C64" s="10" t="s">
        <v>913</v>
      </c>
      <c r="D64" s="10" t="s">
        <v>47</v>
      </c>
      <c r="E64" s="83" t="s">
        <v>523</v>
      </c>
      <c r="F64" s="84">
        <v>2</v>
      </c>
      <c r="G64" s="24">
        <f t="shared" si="1"/>
        <v>3076.0874999999996</v>
      </c>
      <c r="H64" s="24">
        <f t="shared" si="2"/>
        <v>0</v>
      </c>
      <c r="I64" s="24">
        <v>3076.0874999999996</v>
      </c>
      <c r="J64" s="24">
        <v>0</v>
      </c>
      <c r="K64" s="24">
        <v>3076.0874999999996</v>
      </c>
      <c r="L64" s="24">
        <v>0</v>
      </c>
    </row>
    <row r="65" spans="1:12">
      <c r="A65" s="10" t="str">
        <f t="shared" ca="1" si="0"/>
        <v/>
      </c>
      <c r="B65" s="82" t="s">
        <v>245</v>
      </c>
      <c r="C65" s="10" t="s">
        <v>914</v>
      </c>
      <c r="D65" s="10" t="s">
        <v>47</v>
      </c>
      <c r="E65" s="83" t="s">
        <v>524</v>
      </c>
      <c r="F65" s="84">
        <v>2</v>
      </c>
      <c r="G65" s="24">
        <f t="shared" si="1"/>
        <v>2050.7250000000004</v>
      </c>
      <c r="H65" s="24">
        <f t="shared" si="2"/>
        <v>0</v>
      </c>
      <c r="I65" s="24">
        <v>2050.7250000000004</v>
      </c>
      <c r="J65" s="24">
        <v>0</v>
      </c>
      <c r="K65" s="24">
        <v>2050.7250000000004</v>
      </c>
      <c r="L65" s="24">
        <v>0</v>
      </c>
    </row>
    <row r="66" spans="1:12">
      <c r="A66" s="10" t="str">
        <f t="shared" ref="A66:A129" ca="1" si="3">IF(B65=B66,"",ROW(A66)-1+MATCH(B66,INDIRECT("B"&amp;ROW(A66)&amp;":"&amp;"B"&amp;$A$1),1))</f>
        <v/>
      </c>
      <c r="B66" s="82" t="s">
        <v>245</v>
      </c>
      <c r="C66" s="10" t="s">
        <v>915</v>
      </c>
      <c r="D66" s="10" t="s">
        <v>47</v>
      </c>
      <c r="E66" s="83" t="s">
        <v>525</v>
      </c>
      <c r="F66" s="84">
        <v>1</v>
      </c>
      <c r="G66" s="24">
        <f t="shared" ref="G66:G129" si="4">IF($N$2=1,I66,K66)</f>
        <v>2050.7250000000004</v>
      </c>
      <c r="H66" s="24">
        <f t="shared" ref="H66:H129" si="5">IF($N$2=1,J66,L66)</f>
        <v>0</v>
      </c>
      <c r="I66" s="24">
        <v>2050.7250000000004</v>
      </c>
      <c r="J66" s="24">
        <v>0</v>
      </c>
      <c r="K66" s="24">
        <v>2050.7250000000004</v>
      </c>
      <c r="L66" s="24">
        <v>0</v>
      </c>
    </row>
    <row r="67" spans="1:12">
      <c r="A67" s="10" t="str">
        <f t="shared" ca="1" si="3"/>
        <v/>
      </c>
      <c r="B67" s="82" t="s">
        <v>245</v>
      </c>
      <c r="C67" s="10" t="s">
        <v>916</v>
      </c>
      <c r="D67" s="10" t="s">
        <v>47</v>
      </c>
      <c r="E67" s="83" t="s">
        <v>526</v>
      </c>
      <c r="F67" s="84">
        <v>1</v>
      </c>
      <c r="G67" s="24">
        <f t="shared" si="4"/>
        <v>2050.7250000000004</v>
      </c>
      <c r="H67" s="24">
        <f t="shared" si="5"/>
        <v>0</v>
      </c>
      <c r="I67" s="24">
        <v>2050.7250000000004</v>
      </c>
      <c r="J67" s="24">
        <v>0</v>
      </c>
      <c r="K67" s="24">
        <v>2050.7250000000004</v>
      </c>
      <c r="L67" s="24">
        <v>0</v>
      </c>
    </row>
    <row r="68" spans="1:12">
      <c r="A68" s="10" t="str">
        <f t="shared" ca="1" si="3"/>
        <v/>
      </c>
      <c r="B68" s="82" t="s">
        <v>245</v>
      </c>
      <c r="C68" s="10" t="s">
        <v>917</v>
      </c>
      <c r="D68" s="10" t="s">
        <v>47</v>
      </c>
      <c r="E68" s="83" t="s">
        <v>527</v>
      </c>
      <c r="F68" s="84">
        <v>2</v>
      </c>
      <c r="G68" s="24">
        <f t="shared" si="4"/>
        <v>2050.7250000000004</v>
      </c>
      <c r="H68" s="24">
        <f t="shared" si="5"/>
        <v>0</v>
      </c>
      <c r="I68" s="24">
        <v>2050.7250000000004</v>
      </c>
      <c r="J68" s="24">
        <v>0</v>
      </c>
      <c r="K68" s="24">
        <v>2050.7250000000004</v>
      </c>
      <c r="L68" s="24">
        <v>0</v>
      </c>
    </row>
    <row r="69" spans="1:12">
      <c r="A69" s="10" t="str">
        <f t="shared" ca="1" si="3"/>
        <v/>
      </c>
      <c r="B69" s="82" t="s">
        <v>245</v>
      </c>
      <c r="C69" s="10" t="s">
        <v>918</v>
      </c>
      <c r="D69" s="10" t="s">
        <v>47</v>
      </c>
      <c r="E69" s="83" t="s">
        <v>528</v>
      </c>
      <c r="F69" s="84">
        <v>2</v>
      </c>
      <c r="G69" s="24">
        <f t="shared" si="4"/>
        <v>2050.7250000000004</v>
      </c>
      <c r="H69" s="24">
        <f t="shared" si="5"/>
        <v>0</v>
      </c>
      <c r="I69" s="24">
        <v>2050.7250000000004</v>
      </c>
      <c r="J69" s="24">
        <v>0</v>
      </c>
      <c r="K69" s="24">
        <v>2050.7250000000004</v>
      </c>
      <c r="L69" s="24">
        <v>0</v>
      </c>
    </row>
    <row r="70" spans="1:12">
      <c r="A70" s="10">
        <f t="shared" ca="1" si="3"/>
        <v>76</v>
      </c>
      <c r="B70" s="82" t="s">
        <v>262</v>
      </c>
      <c r="C70" s="10" t="s">
        <v>919</v>
      </c>
      <c r="D70" s="10" t="s">
        <v>47</v>
      </c>
      <c r="E70" s="83"/>
      <c r="F70" s="84">
        <v>2</v>
      </c>
      <c r="G70" s="24">
        <f t="shared" si="4"/>
        <v>27.127500000000001</v>
      </c>
      <c r="H70" s="24">
        <f t="shared" si="5"/>
        <v>0</v>
      </c>
      <c r="I70" s="24">
        <v>27.127500000000001</v>
      </c>
      <c r="J70" s="24">
        <v>0</v>
      </c>
      <c r="K70" s="24">
        <v>27.127500000000001</v>
      </c>
      <c r="L70" s="24">
        <v>0</v>
      </c>
    </row>
    <row r="71" spans="1:12">
      <c r="A71" s="10" t="str">
        <f t="shared" ca="1" si="3"/>
        <v/>
      </c>
      <c r="B71" s="82" t="s">
        <v>262</v>
      </c>
      <c r="C71" s="10" t="s">
        <v>920</v>
      </c>
      <c r="D71" s="10" t="s">
        <v>47</v>
      </c>
      <c r="E71" s="83" t="s">
        <v>529</v>
      </c>
      <c r="F71" s="84">
        <v>1</v>
      </c>
      <c r="G71" s="24">
        <f t="shared" si="4"/>
        <v>271.27500000000003</v>
      </c>
      <c r="H71" s="24">
        <f t="shared" si="5"/>
        <v>0</v>
      </c>
      <c r="I71" s="24">
        <v>271.27500000000003</v>
      </c>
      <c r="J71" s="24">
        <v>0</v>
      </c>
      <c r="K71" s="24">
        <v>271.27500000000003</v>
      </c>
      <c r="L71" s="24">
        <v>0</v>
      </c>
    </row>
    <row r="72" spans="1:12">
      <c r="A72" s="10" t="str">
        <f t="shared" ca="1" si="3"/>
        <v/>
      </c>
      <c r="B72" s="82" t="s">
        <v>262</v>
      </c>
      <c r="C72" s="10" t="s">
        <v>921</v>
      </c>
      <c r="D72" s="10" t="s">
        <v>47</v>
      </c>
      <c r="E72" s="83" t="s">
        <v>530</v>
      </c>
      <c r="F72" s="84">
        <v>1</v>
      </c>
      <c r="G72" s="24">
        <f t="shared" si="4"/>
        <v>678.1875</v>
      </c>
      <c r="H72" s="24">
        <f t="shared" si="5"/>
        <v>0</v>
      </c>
      <c r="I72" s="24">
        <v>678.1875</v>
      </c>
      <c r="J72" s="24">
        <v>0</v>
      </c>
      <c r="K72" s="24">
        <v>678.1875</v>
      </c>
      <c r="L72" s="24">
        <v>0</v>
      </c>
    </row>
    <row r="73" spans="1:12">
      <c r="A73" s="10" t="str">
        <f t="shared" ca="1" si="3"/>
        <v/>
      </c>
      <c r="B73" s="82" t="s">
        <v>262</v>
      </c>
      <c r="C73" s="10" t="s">
        <v>922</v>
      </c>
      <c r="D73" s="10" t="s">
        <v>47</v>
      </c>
      <c r="E73" s="83" t="s">
        <v>531</v>
      </c>
      <c r="F73" s="84">
        <v>2</v>
      </c>
      <c r="G73" s="24">
        <f t="shared" si="4"/>
        <v>678.1875</v>
      </c>
      <c r="H73" s="24">
        <f t="shared" si="5"/>
        <v>0</v>
      </c>
      <c r="I73" s="24">
        <v>678.1875</v>
      </c>
      <c r="J73" s="24">
        <v>0</v>
      </c>
      <c r="K73" s="24">
        <v>678.1875</v>
      </c>
      <c r="L73" s="24">
        <v>0</v>
      </c>
    </row>
    <row r="74" spans="1:12">
      <c r="A74" s="10" t="str">
        <f t="shared" ca="1" si="3"/>
        <v/>
      </c>
      <c r="B74" s="82" t="s">
        <v>262</v>
      </c>
      <c r="C74" s="10" t="s">
        <v>923</v>
      </c>
      <c r="D74" s="10" t="s">
        <v>47</v>
      </c>
      <c r="E74" s="83" t="s">
        <v>511</v>
      </c>
      <c r="F74" s="84">
        <v>1</v>
      </c>
      <c r="G74" s="24">
        <f t="shared" si="4"/>
        <v>1356.375</v>
      </c>
      <c r="H74" s="24">
        <f t="shared" si="5"/>
        <v>0</v>
      </c>
      <c r="I74" s="24">
        <v>1356.375</v>
      </c>
      <c r="J74" s="24">
        <v>0</v>
      </c>
      <c r="K74" s="24">
        <v>1356.375</v>
      </c>
      <c r="L74" s="24">
        <v>0</v>
      </c>
    </row>
    <row r="75" spans="1:12">
      <c r="A75" s="10" t="str">
        <f t="shared" ca="1" si="3"/>
        <v/>
      </c>
      <c r="B75" s="82" t="s">
        <v>262</v>
      </c>
      <c r="C75" s="10" t="s">
        <v>924</v>
      </c>
      <c r="D75" s="10" t="s">
        <v>47</v>
      </c>
      <c r="E75" s="83" t="s">
        <v>532</v>
      </c>
      <c r="F75" s="84">
        <v>1</v>
      </c>
      <c r="G75" s="24">
        <f t="shared" si="4"/>
        <v>1356.375</v>
      </c>
      <c r="H75" s="24">
        <f t="shared" si="5"/>
        <v>0</v>
      </c>
      <c r="I75" s="24">
        <v>1356.375</v>
      </c>
      <c r="J75" s="24">
        <v>0</v>
      </c>
      <c r="K75" s="24">
        <v>1356.375</v>
      </c>
      <c r="L75" s="24">
        <v>0</v>
      </c>
    </row>
    <row r="76" spans="1:12">
      <c r="A76" s="10" t="str">
        <f t="shared" ca="1" si="3"/>
        <v/>
      </c>
      <c r="B76" s="82" t="s">
        <v>262</v>
      </c>
      <c r="C76" s="10" t="s">
        <v>925</v>
      </c>
      <c r="D76" s="10" t="s">
        <v>47</v>
      </c>
      <c r="E76" s="83" t="s">
        <v>525</v>
      </c>
      <c r="F76" s="84">
        <v>1</v>
      </c>
      <c r="G76" s="24">
        <f t="shared" si="4"/>
        <v>678.1875</v>
      </c>
      <c r="H76" s="24">
        <f t="shared" si="5"/>
        <v>0</v>
      </c>
      <c r="I76" s="24">
        <v>678.1875</v>
      </c>
      <c r="J76" s="24">
        <v>0</v>
      </c>
      <c r="K76" s="24">
        <v>678.1875</v>
      </c>
      <c r="L76" s="24">
        <v>0</v>
      </c>
    </row>
    <row r="77" spans="1:12">
      <c r="A77" s="10">
        <f t="shared" ca="1" si="3"/>
        <v>79</v>
      </c>
      <c r="B77" s="82" t="s">
        <v>218</v>
      </c>
      <c r="C77" s="10" t="s">
        <v>926</v>
      </c>
      <c r="D77" s="10" t="s">
        <v>47</v>
      </c>
      <c r="E77" s="83" t="s">
        <v>533</v>
      </c>
      <c r="F77" s="84">
        <v>1</v>
      </c>
      <c r="G77" s="24">
        <f t="shared" si="4"/>
        <v>51.150000000000006</v>
      </c>
      <c r="H77" s="24">
        <f t="shared" si="5"/>
        <v>0</v>
      </c>
      <c r="I77" s="24">
        <v>51.150000000000006</v>
      </c>
      <c r="J77" s="24">
        <v>0</v>
      </c>
      <c r="K77" s="24">
        <v>51.150000000000006</v>
      </c>
      <c r="L77" s="24">
        <v>0</v>
      </c>
    </row>
    <row r="78" spans="1:12">
      <c r="A78" s="10" t="str">
        <f t="shared" ca="1" si="3"/>
        <v/>
      </c>
      <c r="B78" s="82" t="s">
        <v>218</v>
      </c>
      <c r="C78" s="10" t="s">
        <v>927</v>
      </c>
      <c r="D78" s="10" t="s">
        <v>47</v>
      </c>
      <c r="E78" s="83" t="s">
        <v>534</v>
      </c>
      <c r="F78" s="84">
        <v>1</v>
      </c>
      <c r="G78" s="24">
        <f t="shared" si="4"/>
        <v>127.875</v>
      </c>
      <c r="H78" s="24">
        <f t="shared" si="5"/>
        <v>0</v>
      </c>
      <c r="I78" s="24">
        <v>127.875</v>
      </c>
      <c r="J78" s="24">
        <v>0</v>
      </c>
      <c r="K78" s="24">
        <v>127.875</v>
      </c>
      <c r="L78" s="24">
        <v>0</v>
      </c>
    </row>
    <row r="79" spans="1:12">
      <c r="A79" s="10" t="str">
        <f t="shared" ca="1" si="3"/>
        <v/>
      </c>
      <c r="B79" s="82" t="s">
        <v>218</v>
      </c>
      <c r="C79" s="10" t="s">
        <v>928</v>
      </c>
      <c r="D79" s="10" t="s">
        <v>47</v>
      </c>
      <c r="E79" s="83" t="s">
        <v>513</v>
      </c>
      <c r="F79" s="84">
        <v>1</v>
      </c>
      <c r="G79" s="24">
        <f t="shared" si="4"/>
        <v>127.875</v>
      </c>
      <c r="H79" s="24">
        <f t="shared" si="5"/>
        <v>0</v>
      </c>
      <c r="I79" s="24">
        <v>127.875</v>
      </c>
      <c r="J79" s="24">
        <v>0</v>
      </c>
      <c r="K79" s="24">
        <v>127.875</v>
      </c>
      <c r="L79" s="24">
        <v>0</v>
      </c>
    </row>
    <row r="80" spans="1:12">
      <c r="A80" s="10">
        <f t="shared" ca="1" si="3"/>
        <v>85</v>
      </c>
      <c r="B80" s="82" t="s">
        <v>276</v>
      </c>
      <c r="C80" s="10" t="s">
        <v>929</v>
      </c>
      <c r="D80" s="10" t="s">
        <v>47</v>
      </c>
      <c r="E80" s="83" t="s">
        <v>518</v>
      </c>
      <c r="F80" s="84">
        <v>1</v>
      </c>
      <c r="G80" s="24">
        <f t="shared" si="4"/>
        <v>7063.2000000000007</v>
      </c>
      <c r="H80" s="24">
        <f t="shared" si="5"/>
        <v>0</v>
      </c>
      <c r="I80" s="24">
        <v>7063.2000000000007</v>
      </c>
      <c r="J80" s="24">
        <v>0</v>
      </c>
      <c r="K80" s="24">
        <v>7063.2000000000007</v>
      </c>
      <c r="L80" s="24">
        <v>0</v>
      </c>
    </row>
    <row r="81" spans="1:12">
      <c r="A81" s="10" t="str">
        <f t="shared" ca="1" si="3"/>
        <v/>
      </c>
      <c r="B81" s="82" t="s">
        <v>276</v>
      </c>
      <c r="C81" s="10" t="s">
        <v>930</v>
      </c>
      <c r="D81" s="10" t="s">
        <v>47</v>
      </c>
      <c r="E81" s="83" t="s">
        <v>534</v>
      </c>
      <c r="F81" s="84">
        <v>1</v>
      </c>
      <c r="G81" s="24">
        <f t="shared" si="4"/>
        <v>7063.2000000000007</v>
      </c>
      <c r="H81" s="24">
        <f t="shared" si="5"/>
        <v>0</v>
      </c>
      <c r="I81" s="24">
        <v>7063.2000000000007</v>
      </c>
      <c r="J81" s="24">
        <v>0</v>
      </c>
      <c r="K81" s="24">
        <v>7063.2000000000007</v>
      </c>
      <c r="L81" s="24">
        <v>0</v>
      </c>
    </row>
    <row r="82" spans="1:12">
      <c r="A82" s="10" t="str">
        <f t="shared" ca="1" si="3"/>
        <v/>
      </c>
      <c r="B82" s="82" t="s">
        <v>276</v>
      </c>
      <c r="C82" s="10" t="s">
        <v>931</v>
      </c>
      <c r="D82" s="10" t="s">
        <v>47</v>
      </c>
      <c r="E82" s="83" t="s">
        <v>513</v>
      </c>
      <c r="F82" s="84">
        <v>1</v>
      </c>
      <c r="G82" s="24">
        <f t="shared" si="4"/>
        <v>7063.2000000000007</v>
      </c>
      <c r="H82" s="24">
        <f t="shared" si="5"/>
        <v>0</v>
      </c>
      <c r="I82" s="24">
        <v>7063.2000000000007</v>
      </c>
      <c r="J82" s="24">
        <v>0</v>
      </c>
      <c r="K82" s="24">
        <v>7063.2000000000007</v>
      </c>
      <c r="L82" s="24">
        <v>0</v>
      </c>
    </row>
    <row r="83" spans="1:12">
      <c r="A83" s="10" t="str">
        <f t="shared" ca="1" si="3"/>
        <v/>
      </c>
      <c r="B83" s="82" t="s">
        <v>276</v>
      </c>
      <c r="C83" s="10" t="s">
        <v>932</v>
      </c>
      <c r="D83" s="10" t="s">
        <v>47</v>
      </c>
      <c r="E83" s="83" t="s">
        <v>511</v>
      </c>
      <c r="F83" s="84">
        <v>1</v>
      </c>
      <c r="G83" s="24">
        <f t="shared" si="4"/>
        <v>7063.2000000000007</v>
      </c>
      <c r="H83" s="24">
        <f t="shared" si="5"/>
        <v>0</v>
      </c>
      <c r="I83" s="24">
        <v>7063.2000000000007</v>
      </c>
      <c r="J83" s="24">
        <v>0</v>
      </c>
      <c r="K83" s="24">
        <v>7063.2000000000007</v>
      </c>
      <c r="L83" s="24">
        <v>0</v>
      </c>
    </row>
    <row r="84" spans="1:12">
      <c r="A84" s="10" t="str">
        <f t="shared" ca="1" si="3"/>
        <v/>
      </c>
      <c r="B84" s="82" t="s">
        <v>276</v>
      </c>
      <c r="C84" s="10" t="s">
        <v>933</v>
      </c>
      <c r="D84" s="10" t="s">
        <v>47</v>
      </c>
      <c r="E84" s="83" t="s">
        <v>535</v>
      </c>
      <c r="F84" s="84">
        <v>1</v>
      </c>
      <c r="G84" s="24">
        <f t="shared" si="4"/>
        <v>7063.2000000000007</v>
      </c>
      <c r="H84" s="24">
        <f t="shared" si="5"/>
        <v>0</v>
      </c>
      <c r="I84" s="24">
        <v>7063.2000000000007</v>
      </c>
      <c r="J84" s="24">
        <v>0</v>
      </c>
      <c r="K84" s="24">
        <v>7063.2000000000007</v>
      </c>
      <c r="L84" s="24">
        <v>0</v>
      </c>
    </row>
    <row r="85" spans="1:12">
      <c r="A85" s="10" t="str">
        <f t="shared" ca="1" si="3"/>
        <v/>
      </c>
      <c r="B85" s="82" t="s">
        <v>276</v>
      </c>
      <c r="C85" s="10" t="s">
        <v>934</v>
      </c>
      <c r="D85" s="10" t="s">
        <v>47</v>
      </c>
      <c r="E85" s="83" t="s">
        <v>525</v>
      </c>
      <c r="F85" s="84">
        <v>1</v>
      </c>
      <c r="G85" s="24">
        <f t="shared" si="4"/>
        <v>7063.2000000000007</v>
      </c>
      <c r="H85" s="24">
        <f t="shared" si="5"/>
        <v>0</v>
      </c>
      <c r="I85" s="24">
        <v>7063.2000000000007</v>
      </c>
      <c r="J85" s="24">
        <v>0</v>
      </c>
      <c r="K85" s="24">
        <v>7063.2000000000007</v>
      </c>
      <c r="L85" s="24">
        <v>0</v>
      </c>
    </row>
    <row r="86" spans="1:12">
      <c r="A86" s="10">
        <f t="shared" ca="1" si="3"/>
        <v>91</v>
      </c>
      <c r="B86" s="82" t="s">
        <v>253</v>
      </c>
      <c r="C86" s="10" t="s">
        <v>935</v>
      </c>
      <c r="D86" s="10" t="s">
        <v>47</v>
      </c>
      <c r="E86" s="83"/>
      <c r="F86" s="84">
        <v>1</v>
      </c>
      <c r="G86" s="24">
        <f t="shared" si="4"/>
        <v>7.3949999999999996</v>
      </c>
      <c r="H86" s="24">
        <f t="shared" si="5"/>
        <v>0</v>
      </c>
      <c r="I86" s="24">
        <v>7.3949999999999996</v>
      </c>
      <c r="J86" s="24">
        <v>0</v>
      </c>
      <c r="K86" s="24">
        <v>7.3949999999999996</v>
      </c>
      <c r="L86" s="24">
        <v>0</v>
      </c>
    </row>
    <row r="87" spans="1:12">
      <c r="A87" s="10" t="str">
        <f t="shared" ca="1" si="3"/>
        <v/>
      </c>
      <c r="B87" s="82" t="s">
        <v>253</v>
      </c>
      <c r="C87" s="10" t="s">
        <v>936</v>
      </c>
      <c r="D87" s="10" t="s">
        <v>47</v>
      </c>
      <c r="E87" s="83" t="s">
        <v>511</v>
      </c>
      <c r="F87" s="84">
        <v>1</v>
      </c>
      <c r="G87" s="24">
        <f t="shared" si="4"/>
        <v>369.75</v>
      </c>
      <c r="H87" s="24">
        <f t="shared" si="5"/>
        <v>0</v>
      </c>
      <c r="I87" s="24">
        <v>369.75</v>
      </c>
      <c r="J87" s="24">
        <v>0</v>
      </c>
      <c r="K87" s="24">
        <v>369.75</v>
      </c>
      <c r="L87" s="24">
        <v>0</v>
      </c>
    </row>
    <row r="88" spans="1:12">
      <c r="A88" s="10" t="str">
        <f t="shared" ca="1" si="3"/>
        <v/>
      </c>
      <c r="B88" s="82" t="s">
        <v>253</v>
      </c>
      <c r="C88" s="10" t="s">
        <v>937</v>
      </c>
      <c r="D88" s="10" t="s">
        <v>47</v>
      </c>
      <c r="E88" s="83" t="s">
        <v>512</v>
      </c>
      <c r="F88" s="84">
        <v>1</v>
      </c>
      <c r="G88" s="24">
        <f t="shared" si="4"/>
        <v>369.75</v>
      </c>
      <c r="H88" s="24">
        <f t="shared" si="5"/>
        <v>0</v>
      </c>
      <c r="I88" s="24">
        <v>369.75</v>
      </c>
      <c r="J88" s="24">
        <v>0</v>
      </c>
      <c r="K88" s="24">
        <v>369.75</v>
      </c>
      <c r="L88" s="24">
        <v>0</v>
      </c>
    </row>
    <row r="89" spans="1:12">
      <c r="A89" s="10" t="str">
        <f t="shared" ca="1" si="3"/>
        <v/>
      </c>
      <c r="B89" s="82" t="s">
        <v>253</v>
      </c>
      <c r="C89" s="10" t="s">
        <v>938</v>
      </c>
      <c r="D89" s="10" t="s">
        <v>47</v>
      </c>
      <c r="E89" s="83" t="s">
        <v>536</v>
      </c>
      <c r="F89" s="84">
        <v>4</v>
      </c>
      <c r="G89" s="24">
        <f t="shared" si="4"/>
        <v>184.875</v>
      </c>
      <c r="H89" s="24">
        <f t="shared" si="5"/>
        <v>0</v>
      </c>
      <c r="I89" s="24">
        <v>184.875</v>
      </c>
      <c r="J89" s="24">
        <v>0</v>
      </c>
      <c r="K89" s="24">
        <v>184.875</v>
      </c>
      <c r="L89" s="24">
        <v>0</v>
      </c>
    </row>
    <row r="90" spans="1:12">
      <c r="A90" s="10" t="str">
        <f t="shared" ca="1" si="3"/>
        <v/>
      </c>
      <c r="B90" s="82" t="s">
        <v>253</v>
      </c>
      <c r="C90" s="10" t="s">
        <v>939</v>
      </c>
      <c r="D90" s="10" t="s">
        <v>47</v>
      </c>
      <c r="E90" s="83" t="s">
        <v>523</v>
      </c>
      <c r="F90" s="84">
        <v>2</v>
      </c>
      <c r="G90" s="24">
        <f t="shared" si="4"/>
        <v>184.875</v>
      </c>
      <c r="H90" s="24">
        <f t="shared" si="5"/>
        <v>0</v>
      </c>
      <c r="I90" s="24">
        <v>184.875</v>
      </c>
      <c r="J90" s="24">
        <v>0</v>
      </c>
      <c r="K90" s="24">
        <v>184.875</v>
      </c>
      <c r="L90" s="24">
        <v>0</v>
      </c>
    </row>
    <row r="91" spans="1:12">
      <c r="A91" s="10" t="str">
        <f t="shared" ca="1" si="3"/>
        <v/>
      </c>
      <c r="B91" s="82" t="s">
        <v>253</v>
      </c>
      <c r="C91" s="10" t="s">
        <v>940</v>
      </c>
      <c r="D91" s="10" t="s">
        <v>47</v>
      </c>
      <c r="E91" s="83" t="s">
        <v>537</v>
      </c>
      <c r="F91" s="84">
        <v>2</v>
      </c>
      <c r="G91" s="24">
        <f t="shared" si="4"/>
        <v>184.875</v>
      </c>
      <c r="H91" s="24">
        <f t="shared" si="5"/>
        <v>0</v>
      </c>
      <c r="I91" s="24">
        <v>184.875</v>
      </c>
      <c r="J91" s="24">
        <v>0</v>
      </c>
      <c r="K91" s="24">
        <v>184.875</v>
      </c>
      <c r="L91" s="24">
        <v>0</v>
      </c>
    </row>
    <row r="92" spans="1:12">
      <c r="A92" s="10">
        <f t="shared" ca="1" si="3"/>
        <v>93</v>
      </c>
      <c r="B92" s="82" t="s">
        <v>718</v>
      </c>
      <c r="C92" s="10" t="s">
        <v>941</v>
      </c>
      <c r="D92" s="10" t="s">
        <v>47</v>
      </c>
      <c r="E92" s="83" t="s">
        <v>538</v>
      </c>
      <c r="F92" s="84">
        <v>1</v>
      </c>
      <c r="G92" s="24">
        <f t="shared" si="4"/>
        <v>40.462500000000006</v>
      </c>
      <c r="H92" s="24">
        <f t="shared" si="5"/>
        <v>0</v>
      </c>
      <c r="I92" s="24">
        <v>40.462500000000006</v>
      </c>
      <c r="J92" s="24">
        <v>0</v>
      </c>
      <c r="K92" s="24">
        <v>40.462500000000006</v>
      </c>
      <c r="L92" s="24">
        <v>0</v>
      </c>
    </row>
    <row r="93" spans="1:12">
      <c r="A93" s="10" t="str">
        <f t="shared" ca="1" si="3"/>
        <v/>
      </c>
      <c r="B93" s="82" t="s">
        <v>718</v>
      </c>
      <c r="C93" s="10" t="s">
        <v>942</v>
      </c>
      <c r="D93" s="10" t="s">
        <v>47</v>
      </c>
      <c r="E93" s="83" t="s">
        <v>522</v>
      </c>
      <c r="F93" s="84">
        <v>2</v>
      </c>
      <c r="G93" s="24">
        <f t="shared" si="4"/>
        <v>40.462500000000006</v>
      </c>
      <c r="H93" s="24">
        <f t="shared" si="5"/>
        <v>0</v>
      </c>
      <c r="I93" s="24">
        <v>40.462500000000006</v>
      </c>
      <c r="J93" s="24">
        <v>0</v>
      </c>
      <c r="K93" s="24">
        <v>40.462500000000006</v>
      </c>
      <c r="L93" s="24">
        <v>0</v>
      </c>
    </row>
    <row r="94" spans="1:12">
      <c r="A94" s="10">
        <f t="shared" ca="1" si="3"/>
        <v>94</v>
      </c>
      <c r="B94" s="82" t="s">
        <v>267</v>
      </c>
      <c r="C94" s="10" t="s">
        <v>943</v>
      </c>
      <c r="D94" s="10" t="s">
        <v>47</v>
      </c>
      <c r="E94" s="83"/>
      <c r="F94" s="84">
        <v>2</v>
      </c>
      <c r="G94" s="24">
        <f t="shared" si="4"/>
        <v>623.17683508312382</v>
      </c>
      <c r="H94" s="24">
        <f t="shared" si="5"/>
        <v>0</v>
      </c>
      <c r="I94" s="24">
        <v>623.17683508312382</v>
      </c>
      <c r="J94" s="24">
        <v>0</v>
      </c>
      <c r="K94" s="24">
        <v>623.17683508312382</v>
      </c>
      <c r="L94" s="24">
        <v>0</v>
      </c>
    </row>
    <row r="95" spans="1:12">
      <c r="A95" s="10">
        <f t="shared" ca="1" si="3"/>
        <v>100</v>
      </c>
      <c r="B95" s="82" t="s">
        <v>227</v>
      </c>
      <c r="C95" s="10" t="s">
        <v>944</v>
      </c>
      <c r="D95" s="10" t="s">
        <v>47</v>
      </c>
      <c r="E95" s="83" t="s">
        <v>533</v>
      </c>
      <c r="F95" s="84">
        <v>1</v>
      </c>
      <c r="G95" s="24">
        <f t="shared" si="4"/>
        <v>906.1785784379399</v>
      </c>
      <c r="H95" s="24">
        <f t="shared" si="5"/>
        <v>0</v>
      </c>
      <c r="I95" s="24">
        <v>906.1785784379399</v>
      </c>
      <c r="J95" s="24">
        <v>0</v>
      </c>
      <c r="K95" s="24">
        <v>906.1785784379399</v>
      </c>
      <c r="L95" s="24">
        <v>0</v>
      </c>
    </row>
    <row r="96" spans="1:12">
      <c r="A96" s="10" t="str">
        <f t="shared" ca="1" si="3"/>
        <v/>
      </c>
      <c r="B96" s="82" t="s">
        <v>227</v>
      </c>
      <c r="C96" s="10" t="s">
        <v>945</v>
      </c>
      <c r="D96" s="10" t="s">
        <v>47</v>
      </c>
      <c r="E96" s="83" t="s">
        <v>539</v>
      </c>
      <c r="F96" s="84">
        <v>1</v>
      </c>
      <c r="G96" s="24">
        <f t="shared" si="4"/>
        <v>906.1785784379399</v>
      </c>
      <c r="H96" s="24">
        <f t="shared" si="5"/>
        <v>0</v>
      </c>
      <c r="I96" s="24">
        <v>906.1785784379399</v>
      </c>
      <c r="J96" s="24">
        <v>0</v>
      </c>
      <c r="K96" s="24">
        <v>906.1785784379399</v>
      </c>
      <c r="L96" s="24">
        <v>0</v>
      </c>
    </row>
    <row r="97" spans="1:12">
      <c r="A97" s="10" t="str">
        <f t="shared" ca="1" si="3"/>
        <v/>
      </c>
      <c r="B97" s="82" t="s">
        <v>227</v>
      </c>
      <c r="C97" s="10" t="s">
        <v>946</v>
      </c>
      <c r="D97" s="10" t="s">
        <v>47</v>
      </c>
      <c r="E97" s="83" t="s">
        <v>540</v>
      </c>
      <c r="F97" s="84">
        <v>1</v>
      </c>
      <c r="G97" s="24">
        <f t="shared" si="4"/>
        <v>906.1785784379399</v>
      </c>
      <c r="H97" s="24">
        <f t="shared" si="5"/>
        <v>0</v>
      </c>
      <c r="I97" s="24">
        <v>906.1785784379399</v>
      </c>
      <c r="J97" s="24">
        <v>0</v>
      </c>
      <c r="K97" s="24">
        <v>906.1785784379399</v>
      </c>
      <c r="L97" s="24">
        <v>0</v>
      </c>
    </row>
    <row r="98" spans="1:12">
      <c r="A98" s="10" t="str">
        <f t="shared" ca="1" si="3"/>
        <v/>
      </c>
      <c r="B98" s="82" t="s">
        <v>227</v>
      </c>
      <c r="C98" s="10" t="s">
        <v>947</v>
      </c>
      <c r="D98" s="10" t="s">
        <v>47</v>
      </c>
      <c r="E98" s="83" t="s">
        <v>534</v>
      </c>
      <c r="F98" s="84">
        <v>1</v>
      </c>
      <c r="G98" s="24">
        <f t="shared" si="4"/>
        <v>3624.7143137517596</v>
      </c>
      <c r="H98" s="24">
        <f t="shared" si="5"/>
        <v>0</v>
      </c>
      <c r="I98" s="24">
        <v>3624.7143137517596</v>
      </c>
      <c r="J98" s="24">
        <v>0</v>
      </c>
      <c r="K98" s="24">
        <v>3624.7143137517596</v>
      </c>
      <c r="L98" s="24">
        <v>0</v>
      </c>
    </row>
    <row r="99" spans="1:12">
      <c r="A99" s="10" t="str">
        <f t="shared" ca="1" si="3"/>
        <v/>
      </c>
      <c r="B99" s="82" t="s">
        <v>227</v>
      </c>
      <c r="C99" s="10" t="s">
        <v>948</v>
      </c>
      <c r="D99" s="10" t="s">
        <v>47</v>
      </c>
      <c r="E99" s="83" t="s">
        <v>513</v>
      </c>
      <c r="F99" s="84">
        <v>1</v>
      </c>
      <c r="G99" s="24">
        <f t="shared" si="4"/>
        <v>3171.6250245327901</v>
      </c>
      <c r="H99" s="24">
        <f t="shared" si="5"/>
        <v>0</v>
      </c>
      <c r="I99" s="24">
        <v>3171.6250245327901</v>
      </c>
      <c r="J99" s="24">
        <v>0</v>
      </c>
      <c r="K99" s="24">
        <v>3171.6250245327901</v>
      </c>
      <c r="L99" s="24">
        <v>0</v>
      </c>
    </row>
    <row r="100" spans="1:12">
      <c r="A100" s="10" t="str">
        <f t="shared" ca="1" si="3"/>
        <v/>
      </c>
      <c r="B100" s="82" t="s">
        <v>227</v>
      </c>
      <c r="C100" s="10" t="s">
        <v>949</v>
      </c>
      <c r="D100" s="10" t="s">
        <v>47</v>
      </c>
      <c r="E100" s="83" t="s">
        <v>517</v>
      </c>
      <c r="F100" s="84">
        <v>1</v>
      </c>
      <c r="G100" s="24">
        <f t="shared" si="4"/>
        <v>1812.3571568758798</v>
      </c>
      <c r="H100" s="24">
        <f t="shared" si="5"/>
        <v>0</v>
      </c>
      <c r="I100" s="24">
        <v>1812.3571568758798</v>
      </c>
      <c r="J100" s="24">
        <v>0</v>
      </c>
      <c r="K100" s="24">
        <v>1812.3571568758798</v>
      </c>
      <c r="L100" s="24">
        <v>0</v>
      </c>
    </row>
    <row r="101" spans="1:12">
      <c r="A101" s="10">
        <f t="shared" ca="1" si="3"/>
        <v>109</v>
      </c>
      <c r="B101" s="82" t="s">
        <v>234</v>
      </c>
      <c r="C101" s="10" t="s">
        <v>950</v>
      </c>
      <c r="D101" s="10" t="s">
        <v>47</v>
      </c>
      <c r="E101" s="83" t="s">
        <v>533</v>
      </c>
      <c r="F101" s="84">
        <v>1</v>
      </c>
      <c r="G101" s="24">
        <f t="shared" si="4"/>
        <v>1132.8173255973682</v>
      </c>
      <c r="H101" s="24">
        <f t="shared" si="5"/>
        <v>0</v>
      </c>
      <c r="I101" s="24">
        <v>1132.8173255973682</v>
      </c>
      <c r="J101" s="24">
        <v>0</v>
      </c>
      <c r="K101" s="24">
        <v>1132.8173255973682</v>
      </c>
      <c r="L101" s="24">
        <v>0</v>
      </c>
    </row>
    <row r="102" spans="1:12">
      <c r="A102" s="10" t="str">
        <f t="shared" ca="1" si="3"/>
        <v/>
      </c>
      <c r="B102" s="82" t="s">
        <v>234</v>
      </c>
      <c r="C102" s="10" t="s">
        <v>951</v>
      </c>
      <c r="D102" s="10" t="s">
        <v>47</v>
      </c>
      <c r="E102" s="83" t="s">
        <v>541</v>
      </c>
      <c r="F102" s="84">
        <v>1</v>
      </c>
      <c r="G102" s="24">
        <f t="shared" si="4"/>
        <v>1132.8173255973682</v>
      </c>
      <c r="H102" s="24">
        <f t="shared" si="5"/>
        <v>0</v>
      </c>
      <c r="I102" s="24">
        <v>1132.8173255973682</v>
      </c>
      <c r="J102" s="24">
        <v>0</v>
      </c>
      <c r="K102" s="24">
        <v>1132.8173255973682</v>
      </c>
      <c r="L102" s="24">
        <v>0</v>
      </c>
    </row>
    <row r="103" spans="1:12">
      <c r="A103" s="10" t="str">
        <f t="shared" ca="1" si="3"/>
        <v/>
      </c>
      <c r="B103" s="82" t="s">
        <v>234</v>
      </c>
      <c r="C103" s="10" t="s">
        <v>952</v>
      </c>
      <c r="D103" s="10" t="s">
        <v>47</v>
      </c>
      <c r="E103" s="83" t="s">
        <v>542</v>
      </c>
      <c r="F103" s="84">
        <v>1</v>
      </c>
      <c r="G103" s="24">
        <f t="shared" si="4"/>
        <v>1132.8173255973682</v>
      </c>
      <c r="H103" s="24">
        <f t="shared" si="5"/>
        <v>0</v>
      </c>
      <c r="I103" s="24">
        <v>1132.8173255973682</v>
      </c>
      <c r="J103" s="24">
        <v>0</v>
      </c>
      <c r="K103" s="24">
        <v>1132.8173255973682</v>
      </c>
      <c r="L103" s="24">
        <v>0</v>
      </c>
    </row>
    <row r="104" spans="1:12">
      <c r="A104" s="10" t="str">
        <f t="shared" ca="1" si="3"/>
        <v/>
      </c>
      <c r="B104" s="82" t="s">
        <v>234</v>
      </c>
      <c r="C104" s="10" t="s">
        <v>953</v>
      </c>
      <c r="D104" s="10" t="s">
        <v>47</v>
      </c>
      <c r="E104" s="83" t="s">
        <v>540</v>
      </c>
      <c r="F104" s="84">
        <v>1</v>
      </c>
      <c r="G104" s="24">
        <f t="shared" si="4"/>
        <v>1132.8173255973682</v>
      </c>
      <c r="H104" s="24">
        <f t="shared" si="5"/>
        <v>0</v>
      </c>
      <c r="I104" s="24">
        <v>1132.8173255973682</v>
      </c>
      <c r="J104" s="24">
        <v>0</v>
      </c>
      <c r="K104" s="24">
        <v>1132.8173255973682</v>
      </c>
      <c r="L104" s="24">
        <v>0</v>
      </c>
    </row>
    <row r="105" spans="1:12">
      <c r="A105" s="10" t="str">
        <f t="shared" ca="1" si="3"/>
        <v/>
      </c>
      <c r="B105" s="82" t="s">
        <v>234</v>
      </c>
      <c r="C105" s="10" t="s">
        <v>954</v>
      </c>
      <c r="D105" s="10" t="s">
        <v>47</v>
      </c>
      <c r="E105" s="83" t="s">
        <v>534</v>
      </c>
      <c r="F105" s="84">
        <v>1</v>
      </c>
      <c r="G105" s="24">
        <f t="shared" si="4"/>
        <v>2832.0433139934203</v>
      </c>
      <c r="H105" s="24">
        <f t="shared" si="5"/>
        <v>0</v>
      </c>
      <c r="I105" s="24">
        <v>2832.0433139934203</v>
      </c>
      <c r="J105" s="24">
        <v>0</v>
      </c>
      <c r="K105" s="24">
        <v>2832.0433139934203</v>
      </c>
      <c r="L105" s="24">
        <v>0</v>
      </c>
    </row>
    <row r="106" spans="1:12">
      <c r="A106" s="10" t="str">
        <f t="shared" ca="1" si="3"/>
        <v/>
      </c>
      <c r="B106" s="82" t="s">
        <v>234</v>
      </c>
      <c r="C106" s="10" t="s">
        <v>955</v>
      </c>
      <c r="D106" s="10" t="s">
        <v>47</v>
      </c>
      <c r="E106" s="83" t="s">
        <v>543</v>
      </c>
      <c r="F106" s="84">
        <v>1</v>
      </c>
      <c r="G106" s="24">
        <f t="shared" si="4"/>
        <v>1132.8173255973682</v>
      </c>
      <c r="H106" s="24">
        <f t="shared" si="5"/>
        <v>0</v>
      </c>
      <c r="I106" s="24">
        <v>1132.8173255973682</v>
      </c>
      <c r="J106" s="24">
        <v>0</v>
      </c>
      <c r="K106" s="24">
        <v>1132.8173255973682</v>
      </c>
      <c r="L106" s="24">
        <v>0</v>
      </c>
    </row>
    <row r="107" spans="1:12">
      <c r="A107" s="10" t="str">
        <f t="shared" ca="1" si="3"/>
        <v/>
      </c>
      <c r="B107" s="82" t="s">
        <v>234</v>
      </c>
      <c r="C107" s="10" t="s">
        <v>956</v>
      </c>
      <c r="D107" s="10" t="s">
        <v>47</v>
      </c>
      <c r="E107" s="83" t="s">
        <v>530</v>
      </c>
      <c r="F107" s="84">
        <v>1</v>
      </c>
      <c r="G107" s="24">
        <f t="shared" si="4"/>
        <v>1132.8173255973682</v>
      </c>
      <c r="H107" s="24">
        <f t="shared" si="5"/>
        <v>0</v>
      </c>
      <c r="I107" s="24">
        <v>1132.8173255973682</v>
      </c>
      <c r="J107" s="24">
        <v>0</v>
      </c>
      <c r="K107" s="24">
        <v>1132.8173255973682</v>
      </c>
      <c r="L107" s="24">
        <v>0</v>
      </c>
    </row>
    <row r="108" spans="1:12">
      <c r="A108" s="10" t="str">
        <f t="shared" ca="1" si="3"/>
        <v/>
      </c>
      <c r="B108" s="82" t="s">
        <v>234</v>
      </c>
      <c r="C108" s="10" t="s">
        <v>957</v>
      </c>
      <c r="D108" s="10" t="s">
        <v>47</v>
      </c>
      <c r="E108" s="83" t="s">
        <v>513</v>
      </c>
      <c r="F108" s="84">
        <v>1</v>
      </c>
      <c r="G108" s="24">
        <f t="shared" si="4"/>
        <v>3964.8606395907873</v>
      </c>
      <c r="H108" s="24">
        <f t="shared" si="5"/>
        <v>0</v>
      </c>
      <c r="I108" s="24">
        <v>3964.8606395907873</v>
      </c>
      <c r="J108" s="24">
        <v>0</v>
      </c>
      <c r="K108" s="24">
        <v>3964.8606395907873</v>
      </c>
      <c r="L108" s="24">
        <v>0</v>
      </c>
    </row>
    <row r="109" spans="1:12">
      <c r="A109" s="10" t="str">
        <f t="shared" ca="1" si="3"/>
        <v/>
      </c>
      <c r="B109" s="82" t="s">
        <v>234</v>
      </c>
      <c r="C109" s="10" t="s">
        <v>958</v>
      </c>
      <c r="D109" s="10" t="s">
        <v>47</v>
      </c>
      <c r="E109" s="83" t="s">
        <v>517</v>
      </c>
      <c r="F109" s="84">
        <v>1</v>
      </c>
      <c r="G109" s="24">
        <f t="shared" si="4"/>
        <v>2265.6346511947363</v>
      </c>
      <c r="H109" s="24">
        <f t="shared" si="5"/>
        <v>0</v>
      </c>
      <c r="I109" s="24">
        <v>2265.6346511947363</v>
      </c>
      <c r="J109" s="24">
        <v>0</v>
      </c>
      <c r="K109" s="24">
        <v>2265.6346511947363</v>
      </c>
      <c r="L109" s="24">
        <v>0</v>
      </c>
    </row>
    <row r="110" spans="1:12">
      <c r="A110" s="10">
        <f t="shared" ca="1" si="3"/>
        <v>117</v>
      </c>
      <c r="B110" s="82" t="s">
        <v>280</v>
      </c>
      <c r="C110" s="10" t="s">
        <v>959</v>
      </c>
      <c r="D110" s="10" t="s">
        <v>47</v>
      </c>
      <c r="E110" s="83" t="s">
        <v>544</v>
      </c>
      <c r="F110" s="84">
        <v>2</v>
      </c>
      <c r="G110" s="24">
        <f t="shared" si="4"/>
        <v>2730.15</v>
      </c>
      <c r="H110" s="24">
        <f t="shared" si="5"/>
        <v>0</v>
      </c>
      <c r="I110" s="24">
        <v>2730.15</v>
      </c>
      <c r="J110" s="24">
        <v>0</v>
      </c>
      <c r="K110" s="24">
        <v>2730.15</v>
      </c>
      <c r="L110" s="24">
        <v>0</v>
      </c>
    </row>
    <row r="111" spans="1:12">
      <c r="A111" s="10" t="str">
        <f t="shared" ca="1" si="3"/>
        <v/>
      </c>
      <c r="B111" s="82" t="s">
        <v>280</v>
      </c>
      <c r="C111" s="10" t="s">
        <v>960</v>
      </c>
      <c r="D111" s="10" t="s">
        <v>47</v>
      </c>
      <c r="E111" s="83" t="s">
        <v>513</v>
      </c>
      <c r="F111" s="84">
        <v>1</v>
      </c>
      <c r="G111" s="24">
        <f t="shared" si="4"/>
        <v>2730.15</v>
      </c>
      <c r="H111" s="24">
        <f t="shared" si="5"/>
        <v>0</v>
      </c>
      <c r="I111" s="24">
        <v>2730.15</v>
      </c>
      <c r="J111" s="24">
        <v>0</v>
      </c>
      <c r="K111" s="24">
        <v>2730.15</v>
      </c>
      <c r="L111" s="24">
        <v>0</v>
      </c>
    </row>
    <row r="112" spans="1:12">
      <c r="A112" s="10" t="str">
        <f t="shared" ca="1" si="3"/>
        <v/>
      </c>
      <c r="B112" s="82" t="s">
        <v>280</v>
      </c>
      <c r="C112" s="10" t="s">
        <v>961</v>
      </c>
      <c r="D112" s="10" t="s">
        <v>47</v>
      </c>
      <c r="E112" s="83" t="s">
        <v>545</v>
      </c>
      <c r="F112" s="84">
        <v>2</v>
      </c>
      <c r="G112" s="24">
        <f t="shared" si="4"/>
        <v>2730.15</v>
      </c>
      <c r="H112" s="24">
        <f t="shared" si="5"/>
        <v>0</v>
      </c>
      <c r="I112" s="24">
        <v>2730.15</v>
      </c>
      <c r="J112" s="24">
        <v>0</v>
      </c>
      <c r="K112" s="24">
        <v>2730.15</v>
      </c>
      <c r="L112" s="24">
        <v>0</v>
      </c>
    </row>
    <row r="113" spans="1:12">
      <c r="A113" s="10" t="str">
        <f t="shared" ca="1" si="3"/>
        <v/>
      </c>
      <c r="B113" s="82" t="s">
        <v>280</v>
      </c>
      <c r="C113" s="10" t="s">
        <v>962</v>
      </c>
      <c r="D113" s="10" t="s">
        <v>47</v>
      </c>
      <c r="E113" s="83" t="s">
        <v>510</v>
      </c>
      <c r="F113" s="84">
        <v>2</v>
      </c>
      <c r="G113" s="24">
        <f t="shared" si="4"/>
        <v>2730.15</v>
      </c>
      <c r="H113" s="24">
        <f t="shared" si="5"/>
        <v>0</v>
      </c>
      <c r="I113" s="24">
        <v>2730.15</v>
      </c>
      <c r="J113" s="24">
        <v>0</v>
      </c>
      <c r="K113" s="24">
        <v>2730.15</v>
      </c>
      <c r="L113" s="24">
        <v>0</v>
      </c>
    </row>
    <row r="114" spans="1:12">
      <c r="A114" s="10" t="str">
        <f t="shared" ca="1" si="3"/>
        <v/>
      </c>
      <c r="B114" s="82" t="s">
        <v>280</v>
      </c>
      <c r="C114" s="10" t="s">
        <v>963</v>
      </c>
      <c r="D114" s="10" t="s">
        <v>47</v>
      </c>
      <c r="E114" s="83" t="s">
        <v>514</v>
      </c>
      <c r="F114" s="84">
        <v>2</v>
      </c>
      <c r="G114" s="24">
        <f t="shared" si="4"/>
        <v>2730.15</v>
      </c>
      <c r="H114" s="24">
        <f t="shared" si="5"/>
        <v>0</v>
      </c>
      <c r="I114" s="24">
        <v>2730.15</v>
      </c>
      <c r="J114" s="24">
        <v>0</v>
      </c>
      <c r="K114" s="24">
        <v>2730.15</v>
      </c>
      <c r="L114" s="24">
        <v>0</v>
      </c>
    </row>
    <row r="115" spans="1:12">
      <c r="A115" s="10" t="str">
        <f t="shared" ca="1" si="3"/>
        <v/>
      </c>
      <c r="B115" s="82" t="s">
        <v>280</v>
      </c>
      <c r="C115" s="10" t="s">
        <v>964</v>
      </c>
      <c r="D115" s="10" t="s">
        <v>47</v>
      </c>
      <c r="E115" s="83" t="s">
        <v>522</v>
      </c>
      <c r="F115" s="84">
        <v>2</v>
      </c>
      <c r="G115" s="24">
        <f t="shared" si="4"/>
        <v>2730.15</v>
      </c>
      <c r="H115" s="24">
        <f t="shared" si="5"/>
        <v>0</v>
      </c>
      <c r="I115" s="24">
        <v>2730.15</v>
      </c>
      <c r="J115" s="24">
        <v>0</v>
      </c>
      <c r="K115" s="24">
        <v>2730.15</v>
      </c>
      <c r="L115" s="24">
        <v>0</v>
      </c>
    </row>
    <row r="116" spans="1:12">
      <c r="A116" s="10" t="str">
        <f t="shared" ca="1" si="3"/>
        <v/>
      </c>
      <c r="B116" s="82" t="s">
        <v>280</v>
      </c>
      <c r="C116" s="10" t="s">
        <v>965</v>
      </c>
      <c r="D116" s="10" t="s">
        <v>47</v>
      </c>
      <c r="E116" s="83" t="s">
        <v>546</v>
      </c>
      <c r="F116" s="84">
        <v>2</v>
      </c>
      <c r="G116" s="24">
        <f t="shared" si="4"/>
        <v>2047.6125000000002</v>
      </c>
      <c r="H116" s="24">
        <f t="shared" si="5"/>
        <v>0</v>
      </c>
      <c r="I116" s="24">
        <v>2047.6125000000002</v>
      </c>
      <c r="J116" s="24">
        <v>0</v>
      </c>
      <c r="K116" s="24">
        <v>2047.6125000000002</v>
      </c>
      <c r="L116" s="24">
        <v>0</v>
      </c>
    </row>
    <row r="117" spans="1:12">
      <c r="A117" s="10" t="str">
        <f t="shared" ca="1" si="3"/>
        <v/>
      </c>
      <c r="B117" s="82" t="s">
        <v>280</v>
      </c>
      <c r="C117" s="10" t="s">
        <v>966</v>
      </c>
      <c r="D117" s="10" t="s">
        <v>47</v>
      </c>
      <c r="E117" s="83" t="s">
        <v>547</v>
      </c>
      <c r="F117" s="84">
        <v>2</v>
      </c>
      <c r="G117" s="24">
        <f t="shared" si="4"/>
        <v>1365.075</v>
      </c>
      <c r="H117" s="24">
        <f t="shared" si="5"/>
        <v>0</v>
      </c>
      <c r="I117" s="24">
        <v>1365.075</v>
      </c>
      <c r="J117" s="24">
        <v>0</v>
      </c>
      <c r="K117" s="24">
        <v>1365.075</v>
      </c>
      <c r="L117" s="24">
        <v>0</v>
      </c>
    </row>
    <row r="118" spans="1:12">
      <c r="A118" s="10">
        <f t="shared" ca="1" si="3"/>
        <v>137</v>
      </c>
      <c r="B118" s="82" t="s">
        <v>210</v>
      </c>
      <c r="C118" s="10" t="s">
        <v>967</v>
      </c>
      <c r="D118" s="10" t="s">
        <v>46</v>
      </c>
      <c r="E118" s="83" t="s">
        <v>548</v>
      </c>
      <c r="F118" s="84">
        <v>1</v>
      </c>
      <c r="G118" s="24">
        <f t="shared" si="4"/>
        <v>227.58749999999998</v>
      </c>
      <c r="H118" s="24">
        <f t="shared" si="5"/>
        <v>0</v>
      </c>
      <c r="I118" s="24">
        <v>227.58749999999998</v>
      </c>
      <c r="J118" s="24">
        <v>0</v>
      </c>
      <c r="K118" s="24">
        <v>227.58749999999998</v>
      </c>
      <c r="L118" s="24">
        <v>0</v>
      </c>
    </row>
    <row r="119" spans="1:12">
      <c r="A119" s="10" t="str">
        <f t="shared" ca="1" si="3"/>
        <v/>
      </c>
      <c r="B119" s="82" t="s">
        <v>210</v>
      </c>
      <c r="C119" s="10" t="s">
        <v>968</v>
      </c>
      <c r="D119" s="10" t="s">
        <v>46</v>
      </c>
      <c r="E119" s="83" t="s">
        <v>549</v>
      </c>
      <c r="F119" s="84">
        <v>1</v>
      </c>
      <c r="G119" s="24">
        <f t="shared" si="4"/>
        <v>75.862500000000011</v>
      </c>
      <c r="H119" s="24">
        <f t="shared" si="5"/>
        <v>0</v>
      </c>
      <c r="I119" s="24">
        <v>75.862500000000011</v>
      </c>
      <c r="J119" s="24">
        <v>0</v>
      </c>
      <c r="K119" s="24">
        <v>75.862500000000011</v>
      </c>
      <c r="L119" s="24">
        <v>0</v>
      </c>
    </row>
    <row r="120" spans="1:12">
      <c r="A120" s="10" t="str">
        <f t="shared" ca="1" si="3"/>
        <v/>
      </c>
      <c r="B120" s="82" t="s">
        <v>210</v>
      </c>
      <c r="C120" s="10" t="s">
        <v>969</v>
      </c>
      <c r="D120" s="10" t="s">
        <v>46</v>
      </c>
      <c r="E120" s="83" t="s">
        <v>516</v>
      </c>
      <c r="F120" s="84">
        <v>1</v>
      </c>
      <c r="G120" s="24">
        <f t="shared" si="4"/>
        <v>75.862500000000011</v>
      </c>
      <c r="H120" s="24">
        <f t="shared" si="5"/>
        <v>0</v>
      </c>
      <c r="I120" s="24">
        <v>75.862500000000011</v>
      </c>
      <c r="J120" s="24">
        <v>0</v>
      </c>
      <c r="K120" s="24">
        <v>75.862500000000011</v>
      </c>
      <c r="L120" s="24">
        <v>0</v>
      </c>
    </row>
    <row r="121" spans="1:12">
      <c r="A121" s="10" t="str">
        <f t="shared" ca="1" si="3"/>
        <v/>
      </c>
      <c r="B121" s="82" t="s">
        <v>210</v>
      </c>
      <c r="C121" s="10" t="s">
        <v>970</v>
      </c>
      <c r="D121" s="10" t="s">
        <v>46</v>
      </c>
      <c r="E121" s="83" t="s">
        <v>550</v>
      </c>
      <c r="F121" s="84">
        <v>1</v>
      </c>
      <c r="G121" s="24">
        <f t="shared" si="4"/>
        <v>1365.5250000000001</v>
      </c>
      <c r="H121" s="24">
        <f t="shared" si="5"/>
        <v>0</v>
      </c>
      <c r="I121" s="24">
        <v>1365.5250000000001</v>
      </c>
      <c r="J121" s="24">
        <v>0</v>
      </c>
      <c r="K121" s="24">
        <v>1365.5250000000001</v>
      </c>
      <c r="L121" s="24">
        <v>0</v>
      </c>
    </row>
    <row r="122" spans="1:12">
      <c r="A122" s="10" t="str">
        <f t="shared" ca="1" si="3"/>
        <v/>
      </c>
      <c r="B122" s="82" t="s">
        <v>210</v>
      </c>
      <c r="C122" s="10" t="s">
        <v>971</v>
      </c>
      <c r="D122" s="10" t="s">
        <v>46</v>
      </c>
      <c r="E122" s="83" t="s">
        <v>551</v>
      </c>
      <c r="F122" s="84">
        <v>1</v>
      </c>
      <c r="G122" s="24">
        <f t="shared" si="4"/>
        <v>379.3125</v>
      </c>
      <c r="H122" s="24">
        <f t="shared" si="5"/>
        <v>0</v>
      </c>
      <c r="I122" s="24">
        <v>379.3125</v>
      </c>
      <c r="J122" s="24">
        <v>0</v>
      </c>
      <c r="K122" s="24">
        <v>379.3125</v>
      </c>
      <c r="L122" s="24">
        <v>0</v>
      </c>
    </row>
    <row r="123" spans="1:12">
      <c r="A123" s="10" t="str">
        <f t="shared" ca="1" si="3"/>
        <v/>
      </c>
      <c r="B123" s="82" t="s">
        <v>210</v>
      </c>
      <c r="C123" s="10" t="s">
        <v>972</v>
      </c>
      <c r="D123" s="10" t="s">
        <v>46</v>
      </c>
      <c r="E123" s="83" t="s">
        <v>773</v>
      </c>
      <c r="F123" s="84">
        <v>1</v>
      </c>
      <c r="G123" s="24">
        <f t="shared" si="4"/>
        <v>151.72500000000002</v>
      </c>
      <c r="H123" s="24">
        <f t="shared" si="5"/>
        <v>0</v>
      </c>
      <c r="I123" s="24">
        <v>151.72500000000002</v>
      </c>
      <c r="J123" s="24">
        <v>0</v>
      </c>
      <c r="K123" s="24">
        <v>151.72500000000002</v>
      </c>
      <c r="L123" s="24">
        <v>0</v>
      </c>
    </row>
    <row r="124" spans="1:12">
      <c r="A124" s="10" t="str">
        <f t="shared" ca="1" si="3"/>
        <v/>
      </c>
      <c r="B124" s="82" t="s">
        <v>210</v>
      </c>
      <c r="C124" s="10" t="s">
        <v>973</v>
      </c>
      <c r="D124" s="10" t="s">
        <v>46</v>
      </c>
      <c r="E124" s="83" t="s">
        <v>552</v>
      </c>
      <c r="F124" s="84">
        <v>3</v>
      </c>
      <c r="G124" s="24">
        <f t="shared" si="4"/>
        <v>151.72500000000002</v>
      </c>
      <c r="H124" s="24">
        <f t="shared" si="5"/>
        <v>0</v>
      </c>
      <c r="I124" s="24">
        <v>151.72500000000002</v>
      </c>
      <c r="J124" s="24">
        <v>0</v>
      </c>
      <c r="K124" s="24">
        <v>151.72500000000002</v>
      </c>
      <c r="L124" s="24">
        <v>0</v>
      </c>
    </row>
    <row r="125" spans="1:12">
      <c r="A125" s="10" t="str">
        <f t="shared" ca="1" si="3"/>
        <v/>
      </c>
      <c r="B125" s="82" t="s">
        <v>210</v>
      </c>
      <c r="C125" s="10" t="s">
        <v>974</v>
      </c>
      <c r="D125" s="10" t="s">
        <v>46</v>
      </c>
      <c r="E125" s="83" t="s">
        <v>774</v>
      </c>
      <c r="F125" s="84">
        <v>1</v>
      </c>
      <c r="G125" s="24">
        <f t="shared" si="4"/>
        <v>75.862500000000011</v>
      </c>
      <c r="H125" s="24">
        <f t="shared" si="5"/>
        <v>0</v>
      </c>
      <c r="I125" s="24">
        <v>75.862500000000011</v>
      </c>
      <c r="J125" s="24">
        <v>0</v>
      </c>
      <c r="K125" s="24">
        <v>75.862500000000011</v>
      </c>
      <c r="L125" s="24">
        <v>0</v>
      </c>
    </row>
    <row r="126" spans="1:12">
      <c r="A126" s="10" t="str">
        <f t="shared" ca="1" si="3"/>
        <v/>
      </c>
      <c r="B126" s="82" t="s">
        <v>210</v>
      </c>
      <c r="C126" s="10" t="s">
        <v>975</v>
      </c>
      <c r="D126" s="10" t="s">
        <v>46</v>
      </c>
      <c r="E126" s="83" t="s">
        <v>554</v>
      </c>
      <c r="F126" s="84">
        <v>1</v>
      </c>
      <c r="G126" s="24">
        <f t="shared" si="4"/>
        <v>151.72500000000002</v>
      </c>
      <c r="H126" s="24">
        <f t="shared" si="5"/>
        <v>0</v>
      </c>
      <c r="I126" s="24">
        <v>151.72500000000002</v>
      </c>
      <c r="J126" s="24">
        <v>0</v>
      </c>
      <c r="K126" s="24">
        <v>151.72500000000002</v>
      </c>
      <c r="L126" s="24">
        <v>0</v>
      </c>
    </row>
    <row r="127" spans="1:12">
      <c r="A127" s="10" t="str">
        <f t="shared" ca="1" si="3"/>
        <v/>
      </c>
      <c r="B127" s="82" t="s">
        <v>210</v>
      </c>
      <c r="C127" s="10" t="s">
        <v>976</v>
      </c>
      <c r="D127" s="10" t="s">
        <v>46</v>
      </c>
      <c r="E127" s="83" t="s">
        <v>775</v>
      </c>
      <c r="F127" s="84">
        <v>3</v>
      </c>
      <c r="G127" s="24">
        <f t="shared" si="4"/>
        <v>151.72500000000002</v>
      </c>
      <c r="H127" s="24">
        <f t="shared" si="5"/>
        <v>0</v>
      </c>
      <c r="I127" s="24">
        <v>151.72500000000002</v>
      </c>
      <c r="J127" s="24">
        <v>0</v>
      </c>
      <c r="K127" s="24">
        <v>151.72500000000002</v>
      </c>
      <c r="L127" s="24">
        <v>0</v>
      </c>
    </row>
    <row r="128" spans="1:12">
      <c r="A128" s="10" t="str">
        <f t="shared" ca="1" si="3"/>
        <v/>
      </c>
      <c r="B128" s="82" t="s">
        <v>210</v>
      </c>
      <c r="C128" s="10" t="s">
        <v>977</v>
      </c>
      <c r="D128" s="10" t="s">
        <v>46</v>
      </c>
      <c r="E128" s="83" t="s">
        <v>555</v>
      </c>
      <c r="F128" s="84">
        <v>1</v>
      </c>
      <c r="G128" s="24">
        <f t="shared" si="4"/>
        <v>151.72500000000002</v>
      </c>
      <c r="H128" s="24">
        <f t="shared" si="5"/>
        <v>0</v>
      </c>
      <c r="I128" s="24">
        <v>151.72500000000002</v>
      </c>
      <c r="J128" s="24">
        <v>0</v>
      </c>
      <c r="K128" s="24">
        <v>151.72500000000002</v>
      </c>
      <c r="L128" s="24">
        <v>0</v>
      </c>
    </row>
    <row r="129" spans="1:12">
      <c r="A129" s="10" t="str">
        <f t="shared" ca="1" si="3"/>
        <v/>
      </c>
      <c r="B129" s="82" t="s">
        <v>210</v>
      </c>
      <c r="C129" s="10" t="s">
        <v>978</v>
      </c>
      <c r="D129" s="10" t="s">
        <v>46</v>
      </c>
      <c r="E129" s="83" t="s">
        <v>776</v>
      </c>
      <c r="F129" s="84">
        <v>1</v>
      </c>
      <c r="G129" s="24">
        <f t="shared" si="4"/>
        <v>45.517499999999998</v>
      </c>
      <c r="H129" s="24">
        <f t="shared" si="5"/>
        <v>0</v>
      </c>
      <c r="I129" s="24">
        <v>45.517499999999998</v>
      </c>
      <c r="J129" s="24">
        <v>0</v>
      </c>
      <c r="K129" s="24">
        <v>45.517499999999998</v>
      </c>
      <c r="L129" s="24">
        <v>0</v>
      </c>
    </row>
    <row r="130" spans="1:12">
      <c r="A130" s="10" t="str">
        <f t="shared" ref="A130:A193" ca="1" si="6">IF(B129=B130,"",ROW(A130)-1+MATCH(B130,INDIRECT("B"&amp;ROW(A130)&amp;":"&amp;"B"&amp;$A$1),1))</f>
        <v/>
      </c>
      <c r="B130" s="82" t="s">
        <v>210</v>
      </c>
      <c r="C130" s="10" t="s">
        <v>979</v>
      </c>
      <c r="D130" s="10" t="s">
        <v>46</v>
      </c>
      <c r="E130" s="83" t="s">
        <v>556</v>
      </c>
      <c r="F130" s="84">
        <v>1</v>
      </c>
      <c r="G130" s="24">
        <f t="shared" ref="G130:G193" si="7">IF($N$2=1,I130,K130)</f>
        <v>45.517499999999998</v>
      </c>
      <c r="H130" s="24">
        <f t="shared" ref="H130:H193" si="8">IF($N$2=1,J130,L130)</f>
        <v>0</v>
      </c>
      <c r="I130" s="24">
        <v>45.517499999999998</v>
      </c>
      <c r="J130" s="24">
        <v>0</v>
      </c>
      <c r="K130" s="24">
        <v>45.517499999999998</v>
      </c>
      <c r="L130" s="24">
        <v>0</v>
      </c>
    </row>
    <row r="131" spans="1:12">
      <c r="A131" s="10" t="str">
        <f t="shared" ca="1" si="6"/>
        <v/>
      </c>
      <c r="B131" s="82" t="s">
        <v>210</v>
      </c>
      <c r="C131" s="10" t="s">
        <v>980</v>
      </c>
      <c r="D131" s="10" t="s">
        <v>46</v>
      </c>
      <c r="E131" s="83" t="s">
        <v>557</v>
      </c>
      <c r="F131" s="84">
        <v>1</v>
      </c>
      <c r="G131" s="24">
        <f t="shared" si="7"/>
        <v>45.517499999999998</v>
      </c>
      <c r="H131" s="24">
        <f t="shared" si="8"/>
        <v>0</v>
      </c>
      <c r="I131" s="24">
        <v>45.517499999999998</v>
      </c>
      <c r="J131" s="24">
        <v>0</v>
      </c>
      <c r="K131" s="24">
        <v>45.517499999999998</v>
      </c>
      <c r="L131" s="24">
        <v>0</v>
      </c>
    </row>
    <row r="132" spans="1:12">
      <c r="A132" s="10" t="str">
        <f t="shared" ca="1" si="6"/>
        <v/>
      </c>
      <c r="B132" s="82" t="s">
        <v>210</v>
      </c>
      <c r="C132" s="10" t="s">
        <v>981</v>
      </c>
      <c r="D132" s="10" t="s">
        <v>46</v>
      </c>
      <c r="E132" s="83" t="s">
        <v>777</v>
      </c>
      <c r="F132" s="84">
        <v>1</v>
      </c>
      <c r="G132" s="24">
        <f t="shared" si="7"/>
        <v>45.517499999999998</v>
      </c>
      <c r="H132" s="24">
        <f t="shared" si="8"/>
        <v>0</v>
      </c>
      <c r="I132" s="24">
        <v>45.517499999999998</v>
      </c>
      <c r="J132" s="24">
        <v>0</v>
      </c>
      <c r="K132" s="24">
        <v>45.517499999999998</v>
      </c>
      <c r="L132" s="24">
        <v>0</v>
      </c>
    </row>
    <row r="133" spans="1:12">
      <c r="A133" s="10" t="str">
        <f t="shared" ca="1" si="6"/>
        <v/>
      </c>
      <c r="B133" s="82" t="s">
        <v>210</v>
      </c>
      <c r="C133" s="10" t="s">
        <v>982</v>
      </c>
      <c r="D133" s="10" t="s">
        <v>46</v>
      </c>
      <c r="E133" s="83" t="s">
        <v>558</v>
      </c>
      <c r="F133" s="84">
        <v>1</v>
      </c>
      <c r="G133" s="24">
        <f t="shared" si="7"/>
        <v>30.344999999999999</v>
      </c>
      <c r="H133" s="24">
        <f t="shared" si="8"/>
        <v>0</v>
      </c>
      <c r="I133" s="24">
        <v>30.344999999999999</v>
      </c>
      <c r="J133" s="24">
        <v>0</v>
      </c>
      <c r="K133" s="24">
        <v>30.344999999999999</v>
      </c>
      <c r="L133" s="24">
        <v>0</v>
      </c>
    </row>
    <row r="134" spans="1:12">
      <c r="A134" s="10" t="str">
        <f t="shared" ca="1" si="6"/>
        <v/>
      </c>
      <c r="B134" s="82" t="s">
        <v>210</v>
      </c>
      <c r="C134" s="10" t="s">
        <v>983</v>
      </c>
      <c r="D134" s="10" t="s">
        <v>46</v>
      </c>
      <c r="E134" s="83" t="s">
        <v>559</v>
      </c>
      <c r="F134" s="84">
        <v>2</v>
      </c>
      <c r="G134" s="24">
        <f t="shared" si="7"/>
        <v>30.344999999999999</v>
      </c>
      <c r="H134" s="24">
        <f t="shared" si="8"/>
        <v>0</v>
      </c>
      <c r="I134" s="24">
        <v>30.344999999999999</v>
      </c>
      <c r="J134" s="24">
        <v>0</v>
      </c>
      <c r="K134" s="24">
        <v>30.344999999999999</v>
      </c>
      <c r="L134" s="24">
        <v>0</v>
      </c>
    </row>
    <row r="135" spans="1:12">
      <c r="A135" s="10" t="str">
        <f t="shared" ca="1" si="6"/>
        <v/>
      </c>
      <c r="B135" s="82" t="s">
        <v>210</v>
      </c>
      <c r="C135" s="10" t="s">
        <v>984</v>
      </c>
      <c r="D135" s="10" t="s">
        <v>46</v>
      </c>
      <c r="E135" s="83" t="s">
        <v>524</v>
      </c>
      <c r="F135" s="84">
        <v>2</v>
      </c>
      <c r="G135" s="24">
        <f t="shared" si="7"/>
        <v>30.344999999999999</v>
      </c>
      <c r="H135" s="24">
        <f t="shared" si="8"/>
        <v>0</v>
      </c>
      <c r="I135" s="24">
        <v>30.344999999999999</v>
      </c>
      <c r="J135" s="24">
        <v>0</v>
      </c>
      <c r="K135" s="24">
        <v>30.344999999999999</v>
      </c>
      <c r="L135" s="24">
        <v>0</v>
      </c>
    </row>
    <row r="136" spans="1:12">
      <c r="A136" s="10" t="str">
        <f t="shared" ca="1" si="6"/>
        <v/>
      </c>
      <c r="B136" s="82" t="s">
        <v>210</v>
      </c>
      <c r="C136" s="10" t="s">
        <v>985</v>
      </c>
      <c r="D136" s="10" t="s">
        <v>46</v>
      </c>
      <c r="E136" s="83" t="s">
        <v>528</v>
      </c>
      <c r="F136" s="84">
        <v>2</v>
      </c>
      <c r="G136" s="24">
        <f t="shared" si="7"/>
        <v>30.344999999999999</v>
      </c>
      <c r="H136" s="24">
        <f t="shared" si="8"/>
        <v>0</v>
      </c>
      <c r="I136" s="24">
        <v>30.344999999999999</v>
      </c>
      <c r="J136" s="24">
        <v>0</v>
      </c>
      <c r="K136" s="24">
        <v>30.344999999999999</v>
      </c>
      <c r="L136" s="24">
        <v>0</v>
      </c>
    </row>
    <row r="137" spans="1:12">
      <c r="A137" s="10" t="str">
        <f t="shared" ca="1" si="6"/>
        <v/>
      </c>
      <c r="B137" s="82" t="s">
        <v>210</v>
      </c>
      <c r="C137" s="10" t="s">
        <v>986</v>
      </c>
      <c r="D137" s="10" t="s">
        <v>46</v>
      </c>
      <c r="E137" s="83" t="s">
        <v>537</v>
      </c>
      <c r="F137" s="84">
        <v>2</v>
      </c>
      <c r="G137" s="24">
        <f t="shared" si="7"/>
        <v>30.344999999999999</v>
      </c>
      <c r="H137" s="24">
        <f t="shared" si="8"/>
        <v>0</v>
      </c>
      <c r="I137" s="24">
        <v>30.344999999999999</v>
      </c>
      <c r="J137" s="24">
        <v>0</v>
      </c>
      <c r="K137" s="24">
        <v>30.344999999999999</v>
      </c>
      <c r="L137" s="24">
        <v>0</v>
      </c>
    </row>
    <row r="138" spans="1:12">
      <c r="A138" s="10">
        <f t="shared" ca="1" si="6"/>
        <v>161</v>
      </c>
      <c r="B138" s="82" t="s">
        <v>217</v>
      </c>
      <c r="C138" s="10" t="s">
        <v>987</v>
      </c>
      <c r="D138" s="10" t="s">
        <v>46</v>
      </c>
      <c r="E138" s="83" t="s">
        <v>533</v>
      </c>
      <c r="F138" s="84">
        <v>1</v>
      </c>
      <c r="G138" s="24">
        <f t="shared" si="7"/>
        <v>456.63750000000005</v>
      </c>
      <c r="H138" s="24">
        <f t="shared" si="8"/>
        <v>0</v>
      </c>
      <c r="I138" s="24">
        <v>456.63750000000005</v>
      </c>
      <c r="J138" s="24">
        <v>0</v>
      </c>
      <c r="K138" s="24">
        <v>456.63750000000005</v>
      </c>
      <c r="L138" s="24">
        <v>0</v>
      </c>
    </row>
    <row r="139" spans="1:12">
      <c r="A139" s="10" t="str">
        <f t="shared" ca="1" si="6"/>
        <v/>
      </c>
      <c r="B139" s="82" t="s">
        <v>217</v>
      </c>
      <c r="C139" s="10" t="s">
        <v>988</v>
      </c>
      <c r="D139" s="10" t="s">
        <v>46</v>
      </c>
      <c r="E139" s="83" t="s">
        <v>560</v>
      </c>
      <c r="F139" s="84">
        <v>1</v>
      </c>
      <c r="G139" s="24">
        <f t="shared" si="7"/>
        <v>456.63750000000005</v>
      </c>
      <c r="H139" s="24">
        <f t="shared" si="8"/>
        <v>0</v>
      </c>
      <c r="I139" s="24">
        <v>456.63750000000005</v>
      </c>
      <c r="J139" s="24">
        <v>0</v>
      </c>
      <c r="K139" s="24">
        <v>456.63750000000005</v>
      </c>
      <c r="L139" s="24">
        <v>0</v>
      </c>
    </row>
    <row r="140" spans="1:12">
      <c r="A140" s="10" t="str">
        <f t="shared" ca="1" si="6"/>
        <v/>
      </c>
      <c r="B140" s="82" t="s">
        <v>217</v>
      </c>
      <c r="C140" s="10" t="s">
        <v>989</v>
      </c>
      <c r="D140" s="10" t="s">
        <v>46</v>
      </c>
      <c r="E140" s="83" t="s">
        <v>516</v>
      </c>
      <c r="F140" s="84">
        <v>1</v>
      </c>
      <c r="G140" s="24">
        <f t="shared" si="7"/>
        <v>456.63750000000005</v>
      </c>
      <c r="H140" s="24">
        <f t="shared" si="8"/>
        <v>0</v>
      </c>
      <c r="I140" s="24">
        <v>456.63750000000005</v>
      </c>
      <c r="J140" s="24">
        <v>0</v>
      </c>
      <c r="K140" s="24">
        <v>456.63750000000005</v>
      </c>
      <c r="L140" s="24">
        <v>0</v>
      </c>
    </row>
    <row r="141" spans="1:12">
      <c r="A141" s="10" t="str">
        <f t="shared" ca="1" si="6"/>
        <v/>
      </c>
      <c r="B141" s="82" t="s">
        <v>217</v>
      </c>
      <c r="C141" s="10" t="s">
        <v>990</v>
      </c>
      <c r="D141" s="10" t="s">
        <v>46</v>
      </c>
      <c r="E141" s="83" t="s">
        <v>778</v>
      </c>
      <c r="F141" s="84">
        <v>1</v>
      </c>
      <c r="G141" s="24">
        <f t="shared" si="7"/>
        <v>456.63750000000005</v>
      </c>
      <c r="H141" s="24">
        <f t="shared" si="8"/>
        <v>0</v>
      </c>
      <c r="I141" s="24">
        <v>456.63750000000005</v>
      </c>
      <c r="J141" s="24">
        <v>0</v>
      </c>
      <c r="K141" s="24">
        <v>456.63750000000005</v>
      </c>
      <c r="L141" s="24">
        <v>0</v>
      </c>
    </row>
    <row r="142" spans="1:12">
      <c r="A142" s="10" t="str">
        <f t="shared" ca="1" si="6"/>
        <v/>
      </c>
      <c r="B142" s="82" t="s">
        <v>217</v>
      </c>
      <c r="C142" s="10" t="s">
        <v>991</v>
      </c>
      <c r="D142" s="10" t="s">
        <v>46</v>
      </c>
      <c r="E142" s="83" t="s">
        <v>550</v>
      </c>
      <c r="F142" s="84">
        <v>1</v>
      </c>
      <c r="G142" s="24">
        <f t="shared" si="7"/>
        <v>456.63750000000005</v>
      </c>
      <c r="H142" s="24">
        <f t="shared" si="8"/>
        <v>0</v>
      </c>
      <c r="I142" s="24">
        <v>456.63750000000005</v>
      </c>
      <c r="J142" s="24">
        <v>0</v>
      </c>
      <c r="K142" s="24">
        <v>456.63750000000005</v>
      </c>
      <c r="L142" s="24">
        <v>0</v>
      </c>
    </row>
    <row r="143" spans="1:12">
      <c r="A143" s="10" t="str">
        <f t="shared" ca="1" si="6"/>
        <v/>
      </c>
      <c r="B143" s="82" t="s">
        <v>217</v>
      </c>
      <c r="C143" s="10" t="s">
        <v>992</v>
      </c>
      <c r="D143" s="10" t="s">
        <v>46</v>
      </c>
      <c r="E143" s="83" t="s">
        <v>556</v>
      </c>
      <c r="F143" s="84">
        <v>2</v>
      </c>
      <c r="G143" s="24">
        <f t="shared" si="7"/>
        <v>456.63750000000005</v>
      </c>
      <c r="H143" s="24">
        <f t="shared" si="8"/>
        <v>0</v>
      </c>
      <c r="I143" s="24">
        <v>456.63750000000005</v>
      </c>
      <c r="J143" s="24">
        <v>0</v>
      </c>
      <c r="K143" s="24">
        <v>456.63750000000005</v>
      </c>
      <c r="L143" s="24">
        <v>0</v>
      </c>
    </row>
    <row r="144" spans="1:12">
      <c r="A144" s="10" t="str">
        <f t="shared" ca="1" si="6"/>
        <v/>
      </c>
      <c r="B144" s="82" t="s">
        <v>217</v>
      </c>
      <c r="C144" s="10" t="s">
        <v>993</v>
      </c>
      <c r="D144" s="10" t="s">
        <v>46</v>
      </c>
      <c r="E144" s="83" t="s">
        <v>561</v>
      </c>
      <c r="F144" s="84">
        <v>1</v>
      </c>
      <c r="G144" s="24">
        <f t="shared" si="7"/>
        <v>456.63750000000005</v>
      </c>
      <c r="H144" s="24">
        <f t="shared" si="8"/>
        <v>0</v>
      </c>
      <c r="I144" s="24">
        <v>456.63750000000005</v>
      </c>
      <c r="J144" s="24">
        <v>0</v>
      </c>
      <c r="K144" s="24">
        <v>456.63750000000005</v>
      </c>
      <c r="L144" s="24">
        <v>0</v>
      </c>
    </row>
    <row r="145" spans="1:12">
      <c r="A145" s="10" t="str">
        <f t="shared" ca="1" si="6"/>
        <v/>
      </c>
      <c r="B145" s="82" t="s">
        <v>217</v>
      </c>
      <c r="C145" s="10" t="s">
        <v>994</v>
      </c>
      <c r="D145" s="10" t="s">
        <v>46</v>
      </c>
      <c r="E145" s="83" t="s">
        <v>562</v>
      </c>
      <c r="F145" s="84">
        <v>1</v>
      </c>
      <c r="G145" s="24">
        <f t="shared" si="7"/>
        <v>456.63750000000005</v>
      </c>
      <c r="H145" s="24">
        <f t="shared" si="8"/>
        <v>0</v>
      </c>
      <c r="I145" s="24">
        <v>456.63750000000005</v>
      </c>
      <c r="J145" s="24">
        <v>0</v>
      </c>
      <c r="K145" s="24">
        <v>456.63750000000005</v>
      </c>
      <c r="L145" s="24">
        <v>0</v>
      </c>
    </row>
    <row r="146" spans="1:12">
      <c r="A146" s="10" t="str">
        <f t="shared" ca="1" si="6"/>
        <v/>
      </c>
      <c r="B146" s="82" t="s">
        <v>217</v>
      </c>
      <c r="C146" s="10" t="s">
        <v>995</v>
      </c>
      <c r="D146" s="10" t="s">
        <v>46</v>
      </c>
      <c r="E146" s="83" t="s">
        <v>563</v>
      </c>
      <c r="F146" s="84">
        <v>1</v>
      </c>
      <c r="G146" s="24">
        <f t="shared" si="7"/>
        <v>456.63750000000005</v>
      </c>
      <c r="H146" s="24">
        <f t="shared" si="8"/>
        <v>0</v>
      </c>
      <c r="I146" s="24">
        <v>456.63750000000005</v>
      </c>
      <c r="J146" s="24">
        <v>0</v>
      </c>
      <c r="K146" s="24">
        <v>456.63750000000005</v>
      </c>
      <c r="L146" s="24">
        <v>0</v>
      </c>
    </row>
    <row r="147" spans="1:12">
      <c r="A147" s="10" t="str">
        <f t="shared" ca="1" si="6"/>
        <v/>
      </c>
      <c r="B147" s="82" t="s">
        <v>217</v>
      </c>
      <c r="C147" s="10" t="s">
        <v>996</v>
      </c>
      <c r="D147" s="10" t="s">
        <v>46</v>
      </c>
      <c r="E147" s="83" t="s">
        <v>564</v>
      </c>
      <c r="F147" s="84">
        <v>1</v>
      </c>
      <c r="G147" s="24">
        <f t="shared" si="7"/>
        <v>456.63750000000005</v>
      </c>
      <c r="H147" s="24">
        <f t="shared" si="8"/>
        <v>0</v>
      </c>
      <c r="I147" s="24">
        <v>456.63750000000005</v>
      </c>
      <c r="J147" s="24">
        <v>0</v>
      </c>
      <c r="K147" s="24">
        <v>456.63750000000005</v>
      </c>
      <c r="L147" s="24">
        <v>0</v>
      </c>
    </row>
    <row r="148" spans="1:12">
      <c r="A148" s="10" t="str">
        <f t="shared" ca="1" si="6"/>
        <v/>
      </c>
      <c r="B148" s="82" t="s">
        <v>217</v>
      </c>
      <c r="C148" s="10" t="s">
        <v>997</v>
      </c>
      <c r="D148" s="10" t="s">
        <v>46</v>
      </c>
      <c r="E148" s="83" t="s">
        <v>565</v>
      </c>
      <c r="F148" s="84">
        <v>1</v>
      </c>
      <c r="G148" s="24">
        <f t="shared" si="7"/>
        <v>456.63750000000005</v>
      </c>
      <c r="H148" s="24">
        <f t="shared" si="8"/>
        <v>0</v>
      </c>
      <c r="I148" s="24">
        <v>456.63750000000005</v>
      </c>
      <c r="J148" s="24">
        <v>0</v>
      </c>
      <c r="K148" s="24">
        <v>456.63750000000005</v>
      </c>
      <c r="L148" s="24">
        <v>0</v>
      </c>
    </row>
    <row r="149" spans="1:12">
      <c r="A149" s="10" t="str">
        <f t="shared" ca="1" si="6"/>
        <v/>
      </c>
      <c r="B149" s="82" t="s">
        <v>217</v>
      </c>
      <c r="C149" s="10" t="s">
        <v>998</v>
      </c>
      <c r="D149" s="10" t="s">
        <v>46</v>
      </c>
      <c r="E149" s="83" t="s">
        <v>566</v>
      </c>
      <c r="F149" s="84">
        <v>1</v>
      </c>
      <c r="G149" s="24">
        <f t="shared" si="7"/>
        <v>456.63750000000005</v>
      </c>
      <c r="H149" s="24">
        <f t="shared" si="8"/>
        <v>0</v>
      </c>
      <c r="I149" s="24">
        <v>456.63750000000005</v>
      </c>
      <c r="J149" s="24">
        <v>0</v>
      </c>
      <c r="K149" s="24">
        <v>456.63750000000005</v>
      </c>
      <c r="L149" s="24">
        <v>0</v>
      </c>
    </row>
    <row r="150" spans="1:12">
      <c r="A150" s="10" t="str">
        <f t="shared" ca="1" si="6"/>
        <v/>
      </c>
      <c r="B150" s="82" t="s">
        <v>217</v>
      </c>
      <c r="C150" s="10" t="s">
        <v>999</v>
      </c>
      <c r="D150" s="10" t="s">
        <v>46</v>
      </c>
      <c r="E150" s="83" t="s">
        <v>567</v>
      </c>
      <c r="F150" s="84">
        <v>1</v>
      </c>
      <c r="G150" s="24">
        <f t="shared" si="7"/>
        <v>456.63750000000005</v>
      </c>
      <c r="H150" s="24">
        <f t="shared" si="8"/>
        <v>0</v>
      </c>
      <c r="I150" s="24">
        <v>456.63750000000005</v>
      </c>
      <c r="J150" s="24">
        <v>0</v>
      </c>
      <c r="K150" s="24">
        <v>456.63750000000005</v>
      </c>
      <c r="L150" s="24">
        <v>0</v>
      </c>
    </row>
    <row r="151" spans="1:12">
      <c r="A151" s="10" t="str">
        <f t="shared" ca="1" si="6"/>
        <v/>
      </c>
      <c r="B151" s="82" t="s">
        <v>217</v>
      </c>
      <c r="C151" s="10" t="s">
        <v>1000</v>
      </c>
      <c r="D151" s="10" t="s">
        <v>46</v>
      </c>
      <c r="E151" s="83" t="s">
        <v>568</v>
      </c>
      <c r="F151" s="84">
        <v>1</v>
      </c>
      <c r="G151" s="24">
        <f t="shared" si="7"/>
        <v>456.63750000000005</v>
      </c>
      <c r="H151" s="24">
        <f t="shared" si="8"/>
        <v>0</v>
      </c>
      <c r="I151" s="24">
        <v>456.63750000000005</v>
      </c>
      <c r="J151" s="24">
        <v>0</v>
      </c>
      <c r="K151" s="24">
        <v>456.63750000000005</v>
      </c>
      <c r="L151" s="24">
        <v>0</v>
      </c>
    </row>
    <row r="152" spans="1:12">
      <c r="A152" s="10" t="str">
        <f t="shared" ca="1" si="6"/>
        <v/>
      </c>
      <c r="B152" s="82" t="s">
        <v>217</v>
      </c>
      <c r="C152" s="10" t="s">
        <v>1001</v>
      </c>
      <c r="D152" s="10" t="s">
        <v>46</v>
      </c>
      <c r="E152" s="83" t="s">
        <v>570</v>
      </c>
      <c r="F152" s="84">
        <v>1</v>
      </c>
      <c r="G152" s="24">
        <f t="shared" si="7"/>
        <v>456.63750000000005</v>
      </c>
      <c r="H152" s="24">
        <f t="shared" si="8"/>
        <v>0</v>
      </c>
      <c r="I152" s="24">
        <v>456.63750000000005</v>
      </c>
      <c r="J152" s="24">
        <v>0</v>
      </c>
      <c r="K152" s="24">
        <v>456.63750000000005</v>
      </c>
      <c r="L152" s="24">
        <v>0</v>
      </c>
    </row>
    <row r="153" spans="1:12">
      <c r="A153" s="10" t="str">
        <f t="shared" ca="1" si="6"/>
        <v/>
      </c>
      <c r="B153" s="82" t="s">
        <v>217</v>
      </c>
      <c r="C153" s="10" t="s">
        <v>1002</v>
      </c>
      <c r="D153" s="10" t="s">
        <v>46</v>
      </c>
      <c r="E153" s="83" t="s">
        <v>569</v>
      </c>
      <c r="F153" s="84">
        <v>1</v>
      </c>
      <c r="G153" s="24">
        <f t="shared" si="7"/>
        <v>456.63750000000005</v>
      </c>
      <c r="H153" s="24">
        <f t="shared" si="8"/>
        <v>0</v>
      </c>
      <c r="I153" s="24">
        <v>456.63750000000005</v>
      </c>
      <c r="J153" s="24">
        <v>0</v>
      </c>
      <c r="K153" s="24">
        <v>456.63750000000005</v>
      </c>
      <c r="L153" s="24">
        <v>0</v>
      </c>
    </row>
    <row r="154" spans="1:12">
      <c r="A154" s="10" t="str">
        <f t="shared" ca="1" si="6"/>
        <v/>
      </c>
      <c r="B154" s="82" t="s">
        <v>217</v>
      </c>
      <c r="C154" s="10" t="s">
        <v>1003</v>
      </c>
      <c r="D154" s="10" t="s">
        <v>46</v>
      </c>
      <c r="E154" s="83" t="s">
        <v>571</v>
      </c>
      <c r="F154" s="84">
        <v>2</v>
      </c>
      <c r="G154" s="24">
        <f t="shared" si="7"/>
        <v>456.63750000000005</v>
      </c>
      <c r="H154" s="24">
        <f t="shared" si="8"/>
        <v>0</v>
      </c>
      <c r="I154" s="24">
        <v>456.63750000000005</v>
      </c>
      <c r="J154" s="24">
        <v>0</v>
      </c>
      <c r="K154" s="24">
        <v>456.63750000000005</v>
      </c>
      <c r="L154" s="24">
        <v>0</v>
      </c>
    </row>
    <row r="155" spans="1:12">
      <c r="A155" s="10" t="str">
        <f t="shared" ca="1" si="6"/>
        <v/>
      </c>
      <c r="B155" s="82" t="s">
        <v>217</v>
      </c>
      <c r="C155" s="10" t="s">
        <v>1004</v>
      </c>
      <c r="D155" s="10" t="s">
        <v>46</v>
      </c>
      <c r="E155" s="83" t="s">
        <v>512</v>
      </c>
      <c r="F155" s="84">
        <v>1</v>
      </c>
      <c r="G155" s="24">
        <f t="shared" si="7"/>
        <v>456.63750000000005</v>
      </c>
      <c r="H155" s="24">
        <f t="shared" si="8"/>
        <v>0</v>
      </c>
      <c r="I155" s="24">
        <v>456.63750000000005</v>
      </c>
      <c r="J155" s="24">
        <v>0</v>
      </c>
      <c r="K155" s="24">
        <v>456.63750000000005</v>
      </c>
      <c r="L155" s="24">
        <v>0</v>
      </c>
    </row>
    <row r="156" spans="1:12">
      <c r="A156" s="10" t="str">
        <f t="shared" ca="1" si="6"/>
        <v/>
      </c>
      <c r="B156" s="82" t="s">
        <v>217</v>
      </c>
      <c r="C156" s="10" t="s">
        <v>1005</v>
      </c>
      <c r="D156" s="10" t="s">
        <v>46</v>
      </c>
      <c r="E156" s="83" t="s">
        <v>536</v>
      </c>
      <c r="F156" s="84">
        <v>4</v>
      </c>
      <c r="G156" s="24">
        <f t="shared" si="7"/>
        <v>456.63750000000005</v>
      </c>
      <c r="H156" s="24">
        <f t="shared" si="8"/>
        <v>0</v>
      </c>
      <c r="I156" s="24">
        <v>456.63750000000005</v>
      </c>
      <c r="J156" s="24">
        <v>0</v>
      </c>
      <c r="K156" s="24">
        <v>456.63750000000005</v>
      </c>
      <c r="L156" s="24">
        <v>0</v>
      </c>
    </row>
    <row r="157" spans="1:12">
      <c r="A157" s="10" t="str">
        <f t="shared" ca="1" si="6"/>
        <v/>
      </c>
      <c r="B157" s="82" t="s">
        <v>217</v>
      </c>
      <c r="C157" s="10" t="s">
        <v>1006</v>
      </c>
      <c r="D157" s="10" t="s">
        <v>46</v>
      </c>
      <c r="E157" s="83" t="s">
        <v>535</v>
      </c>
      <c r="F157" s="84">
        <v>1</v>
      </c>
      <c r="G157" s="24">
        <f t="shared" si="7"/>
        <v>456.63750000000005</v>
      </c>
      <c r="H157" s="24">
        <f t="shared" si="8"/>
        <v>0</v>
      </c>
      <c r="I157" s="24">
        <v>456.63750000000005</v>
      </c>
      <c r="J157" s="24">
        <v>0</v>
      </c>
      <c r="K157" s="24">
        <v>456.63750000000005</v>
      </c>
      <c r="L157" s="24">
        <v>0</v>
      </c>
    </row>
    <row r="158" spans="1:12">
      <c r="A158" s="10" t="str">
        <f t="shared" ca="1" si="6"/>
        <v/>
      </c>
      <c r="B158" s="82" t="s">
        <v>217</v>
      </c>
      <c r="C158" s="10" t="s">
        <v>1007</v>
      </c>
      <c r="D158" s="10" t="s">
        <v>46</v>
      </c>
      <c r="E158" s="83" t="s">
        <v>523</v>
      </c>
      <c r="F158" s="84">
        <v>2</v>
      </c>
      <c r="G158" s="24">
        <f t="shared" si="7"/>
        <v>456.63750000000005</v>
      </c>
      <c r="H158" s="24">
        <f t="shared" si="8"/>
        <v>0</v>
      </c>
      <c r="I158" s="24">
        <v>456.63750000000005</v>
      </c>
      <c r="J158" s="24">
        <v>0</v>
      </c>
      <c r="K158" s="24">
        <v>456.63750000000005</v>
      </c>
      <c r="L158" s="24">
        <v>0</v>
      </c>
    </row>
    <row r="159" spans="1:12">
      <c r="A159" s="10" t="str">
        <f t="shared" ca="1" si="6"/>
        <v/>
      </c>
      <c r="B159" s="82" t="s">
        <v>217</v>
      </c>
      <c r="C159" s="10" t="s">
        <v>1008</v>
      </c>
      <c r="D159" s="10" t="s">
        <v>46</v>
      </c>
      <c r="E159" s="83" t="s">
        <v>524</v>
      </c>
      <c r="F159" s="84">
        <v>2</v>
      </c>
      <c r="G159" s="24">
        <f t="shared" si="7"/>
        <v>456.63750000000005</v>
      </c>
      <c r="H159" s="24">
        <f t="shared" si="8"/>
        <v>0</v>
      </c>
      <c r="I159" s="24">
        <v>456.63750000000005</v>
      </c>
      <c r="J159" s="24">
        <v>0</v>
      </c>
      <c r="K159" s="24">
        <v>456.63750000000005</v>
      </c>
      <c r="L159" s="24">
        <v>0</v>
      </c>
    </row>
    <row r="160" spans="1:12">
      <c r="A160" s="10" t="str">
        <f t="shared" ca="1" si="6"/>
        <v/>
      </c>
      <c r="B160" s="82" t="s">
        <v>217</v>
      </c>
      <c r="C160" s="10" t="s">
        <v>1009</v>
      </c>
      <c r="D160" s="10" t="s">
        <v>46</v>
      </c>
      <c r="E160" s="83" t="s">
        <v>528</v>
      </c>
      <c r="F160" s="84">
        <v>2</v>
      </c>
      <c r="G160" s="24">
        <f t="shared" si="7"/>
        <v>456.63750000000005</v>
      </c>
      <c r="H160" s="24">
        <f t="shared" si="8"/>
        <v>0</v>
      </c>
      <c r="I160" s="24">
        <v>456.63750000000005</v>
      </c>
      <c r="J160" s="24">
        <v>0</v>
      </c>
      <c r="K160" s="24">
        <v>456.63750000000005</v>
      </c>
      <c r="L160" s="24">
        <v>0</v>
      </c>
    </row>
    <row r="161" spans="1:12">
      <c r="A161" s="10" t="str">
        <f t="shared" ca="1" si="6"/>
        <v/>
      </c>
      <c r="B161" s="82" t="s">
        <v>217</v>
      </c>
      <c r="C161" s="10" t="s">
        <v>1010</v>
      </c>
      <c r="D161" s="10" t="s">
        <v>46</v>
      </c>
      <c r="E161" s="83" t="s">
        <v>537</v>
      </c>
      <c r="F161" s="84">
        <v>2</v>
      </c>
      <c r="G161" s="24">
        <f t="shared" si="7"/>
        <v>7306.2000000000007</v>
      </c>
      <c r="H161" s="24">
        <f t="shared" si="8"/>
        <v>0</v>
      </c>
      <c r="I161" s="24">
        <v>7306.2000000000007</v>
      </c>
      <c r="J161" s="24">
        <v>0</v>
      </c>
      <c r="K161" s="24">
        <v>7306.2000000000007</v>
      </c>
      <c r="L161" s="24">
        <v>0</v>
      </c>
    </row>
    <row r="162" spans="1:12">
      <c r="A162" s="10">
        <f t="shared" ca="1" si="6"/>
        <v>172</v>
      </c>
      <c r="B162" s="82" t="s">
        <v>226</v>
      </c>
      <c r="C162" s="10" t="s">
        <v>1011</v>
      </c>
      <c r="D162" s="10" t="s">
        <v>46</v>
      </c>
      <c r="E162" s="83" t="s">
        <v>550</v>
      </c>
      <c r="F162" s="84">
        <v>1</v>
      </c>
      <c r="G162" s="24">
        <f t="shared" si="7"/>
        <v>1896.0749999999998</v>
      </c>
      <c r="H162" s="24">
        <f t="shared" si="8"/>
        <v>0</v>
      </c>
      <c r="I162" s="24">
        <v>1896.0749999999998</v>
      </c>
      <c r="J162" s="24">
        <v>0</v>
      </c>
      <c r="K162" s="24">
        <v>1896.0749999999998</v>
      </c>
      <c r="L162" s="24">
        <v>0</v>
      </c>
    </row>
    <row r="163" spans="1:12">
      <c r="A163" s="10" t="str">
        <f t="shared" ca="1" si="6"/>
        <v/>
      </c>
      <c r="B163" s="82" t="s">
        <v>226</v>
      </c>
      <c r="C163" s="10" t="s">
        <v>1012</v>
      </c>
      <c r="D163" s="10" t="s">
        <v>46</v>
      </c>
      <c r="E163" s="83" t="s">
        <v>551</v>
      </c>
      <c r="F163" s="84">
        <v>1</v>
      </c>
      <c r="G163" s="24">
        <f t="shared" si="7"/>
        <v>210.67500000000001</v>
      </c>
      <c r="H163" s="24">
        <f t="shared" si="8"/>
        <v>0</v>
      </c>
      <c r="I163" s="24">
        <v>210.67500000000001</v>
      </c>
      <c r="J163" s="24">
        <v>0</v>
      </c>
      <c r="K163" s="24">
        <v>210.67500000000001</v>
      </c>
      <c r="L163" s="24">
        <v>0</v>
      </c>
    </row>
    <row r="164" spans="1:12">
      <c r="A164" s="10" t="str">
        <f t="shared" ca="1" si="6"/>
        <v/>
      </c>
      <c r="B164" s="82" t="s">
        <v>226</v>
      </c>
      <c r="C164" s="10" t="s">
        <v>1013</v>
      </c>
      <c r="D164" s="10" t="s">
        <v>46</v>
      </c>
      <c r="E164" s="83" t="s">
        <v>773</v>
      </c>
      <c r="F164" s="84">
        <v>1</v>
      </c>
      <c r="G164" s="24">
        <f t="shared" si="7"/>
        <v>210.67500000000001</v>
      </c>
      <c r="H164" s="24">
        <f t="shared" si="8"/>
        <v>0</v>
      </c>
      <c r="I164" s="24">
        <v>210.67500000000001</v>
      </c>
      <c r="J164" s="24">
        <v>0</v>
      </c>
      <c r="K164" s="24">
        <v>210.67500000000001</v>
      </c>
      <c r="L164" s="24">
        <v>0</v>
      </c>
    </row>
    <row r="165" spans="1:12">
      <c r="A165" s="10" t="str">
        <f t="shared" ca="1" si="6"/>
        <v/>
      </c>
      <c r="B165" s="82" t="s">
        <v>226</v>
      </c>
      <c r="C165" s="10" t="s">
        <v>1014</v>
      </c>
      <c r="D165" s="10" t="s">
        <v>46</v>
      </c>
      <c r="E165" s="83" t="s">
        <v>552</v>
      </c>
      <c r="F165" s="84">
        <v>3</v>
      </c>
      <c r="G165" s="24">
        <f t="shared" si="7"/>
        <v>210.67500000000001</v>
      </c>
      <c r="H165" s="24">
        <f t="shared" si="8"/>
        <v>0</v>
      </c>
      <c r="I165" s="24">
        <v>210.67500000000001</v>
      </c>
      <c r="J165" s="24">
        <v>0</v>
      </c>
      <c r="K165" s="24">
        <v>210.67500000000001</v>
      </c>
      <c r="L165" s="24">
        <v>0</v>
      </c>
    </row>
    <row r="166" spans="1:12">
      <c r="A166" s="10" t="str">
        <f t="shared" ca="1" si="6"/>
        <v/>
      </c>
      <c r="B166" s="82" t="s">
        <v>226</v>
      </c>
      <c r="C166" s="10" t="s">
        <v>1015</v>
      </c>
      <c r="D166" s="10" t="s">
        <v>46</v>
      </c>
      <c r="E166" s="83" t="s">
        <v>553</v>
      </c>
      <c r="F166" s="84">
        <v>1</v>
      </c>
      <c r="G166" s="24">
        <f t="shared" si="7"/>
        <v>210.67500000000001</v>
      </c>
      <c r="H166" s="24">
        <f t="shared" si="8"/>
        <v>0</v>
      </c>
      <c r="I166" s="24">
        <v>210.67500000000001</v>
      </c>
      <c r="J166" s="24">
        <v>0</v>
      </c>
      <c r="K166" s="24">
        <v>210.67500000000001</v>
      </c>
      <c r="L166" s="24">
        <v>0</v>
      </c>
    </row>
    <row r="167" spans="1:12">
      <c r="A167" s="10" t="str">
        <f t="shared" ca="1" si="6"/>
        <v/>
      </c>
      <c r="B167" s="82" t="s">
        <v>226</v>
      </c>
      <c r="C167" s="10" t="s">
        <v>1016</v>
      </c>
      <c r="D167" s="10" t="s">
        <v>46</v>
      </c>
      <c r="E167" s="83" t="s">
        <v>775</v>
      </c>
      <c r="F167" s="84">
        <v>1</v>
      </c>
      <c r="G167" s="24">
        <f t="shared" si="7"/>
        <v>210.67500000000001</v>
      </c>
      <c r="H167" s="24">
        <f t="shared" si="8"/>
        <v>0</v>
      </c>
      <c r="I167" s="24">
        <v>210.67500000000001</v>
      </c>
      <c r="J167" s="24">
        <v>0</v>
      </c>
      <c r="K167" s="24">
        <v>210.67500000000001</v>
      </c>
      <c r="L167" s="24">
        <v>0</v>
      </c>
    </row>
    <row r="168" spans="1:12">
      <c r="A168" s="10" t="str">
        <f t="shared" ca="1" si="6"/>
        <v/>
      </c>
      <c r="B168" s="82" t="s">
        <v>226</v>
      </c>
      <c r="C168" s="10" t="s">
        <v>1017</v>
      </c>
      <c r="D168" s="10" t="s">
        <v>46</v>
      </c>
      <c r="E168" s="83" t="s">
        <v>572</v>
      </c>
      <c r="F168" s="84">
        <v>4</v>
      </c>
      <c r="G168" s="24">
        <f t="shared" si="7"/>
        <v>210.67500000000001</v>
      </c>
      <c r="H168" s="24">
        <f t="shared" si="8"/>
        <v>0</v>
      </c>
      <c r="I168" s="24">
        <v>210.67500000000001</v>
      </c>
      <c r="J168" s="24">
        <v>0</v>
      </c>
      <c r="K168" s="24">
        <v>210.67500000000001</v>
      </c>
      <c r="L168" s="24">
        <v>0</v>
      </c>
    </row>
    <row r="169" spans="1:12">
      <c r="A169" s="10" t="str">
        <f t="shared" ca="1" si="6"/>
        <v/>
      </c>
      <c r="B169" s="82" t="s">
        <v>226</v>
      </c>
      <c r="C169" s="10" t="s">
        <v>1018</v>
      </c>
      <c r="D169" s="10" t="s">
        <v>46</v>
      </c>
      <c r="E169" s="83" t="s">
        <v>555</v>
      </c>
      <c r="F169" s="84">
        <v>1</v>
      </c>
      <c r="G169" s="24">
        <f t="shared" si="7"/>
        <v>105.33750000000001</v>
      </c>
      <c r="H169" s="24">
        <f t="shared" si="8"/>
        <v>0</v>
      </c>
      <c r="I169" s="24">
        <v>105.33750000000001</v>
      </c>
      <c r="J169" s="24">
        <v>0</v>
      </c>
      <c r="K169" s="24">
        <v>105.33750000000001</v>
      </c>
      <c r="L169" s="24">
        <v>0</v>
      </c>
    </row>
    <row r="170" spans="1:12">
      <c r="A170" s="10" t="str">
        <f t="shared" ca="1" si="6"/>
        <v/>
      </c>
      <c r="B170" s="82" t="s">
        <v>226</v>
      </c>
      <c r="C170" s="10" t="s">
        <v>1019</v>
      </c>
      <c r="D170" s="10" t="s">
        <v>46</v>
      </c>
      <c r="E170" s="83" t="s">
        <v>556</v>
      </c>
      <c r="F170" s="84">
        <v>1</v>
      </c>
      <c r="G170" s="24">
        <f t="shared" si="7"/>
        <v>105.33750000000001</v>
      </c>
      <c r="H170" s="24">
        <f t="shared" si="8"/>
        <v>0</v>
      </c>
      <c r="I170" s="24">
        <v>105.33750000000001</v>
      </c>
      <c r="J170" s="24">
        <v>0</v>
      </c>
      <c r="K170" s="24">
        <v>105.33750000000001</v>
      </c>
      <c r="L170" s="24">
        <v>0</v>
      </c>
    </row>
    <row r="171" spans="1:12">
      <c r="A171" s="10" t="str">
        <f t="shared" ca="1" si="6"/>
        <v/>
      </c>
      <c r="B171" s="82" t="s">
        <v>226</v>
      </c>
      <c r="C171" s="10" t="s">
        <v>1020</v>
      </c>
      <c r="D171" s="10" t="s">
        <v>46</v>
      </c>
      <c r="E171" s="83" t="s">
        <v>573</v>
      </c>
      <c r="F171" s="84">
        <v>1</v>
      </c>
      <c r="G171" s="24">
        <f t="shared" si="7"/>
        <v>105.33750000000001</v>
      </c>
      <c r="H171" s="24">
        <f t="shared" si="8"/>
        <v>0</v>
      </c>
      <c r="I171" s="24">
        <v>105.33750000000001</v>
      </c>
      <c r="J171" s="24">
        <v>0</v>
      </c>
      <c r="K171" s="24">
        <v>105.33750000000001</v>
      </c>
      <c r="L171" s="24">
        <v>0</v>
      </c>
    </row>
    <row r="172" spans="1:12">
      <c r="A172" s="10" t="str">
        <f t="shared" ca="1" si="6"/>
        <v/>
      </c>
      <c r="B172" s="82" t="s">
        <v>226</v>
      </c>
      <c r="C172" s="10" t="s">
        <v>1021</v>
      </c>
      <c r="D172" s="10" t="s">
        <v>46</v>
      </c>
      <c r="E172" s="83" t="s">
        <v>530</v>
      </c>
      <c r="F172" s="84">
        <v>1</v>
      </c>
      <c r="G172" s="24">
        <f t="shared" si="7"/>
        <v>105.33750000000001</v>
      </c>
      <c r="H172" s="24">
        <f t="shared" si="8"/>
        <v>0</v>
      </c>
      <c r="I172" s="24">
        <v>105.33750000000001</v>
      </c>
      <c r="J172" s="24">
        <v>0</v>
      </c>
      <c r="K172" s="24">
        <v>105.33750000000001</v>
      </c>
      <c r="L172" s="24">
        <v>0</v>
      </c>
    </row>
    <row r="173" spans="1:12">
      <c r="A173" s="10">
        <f t="shared" ca="1" si="6"/>
        <v>176</v>
      </c>
      <c r="B173" s="82" t="s">
        <v>233</v>
      </c>
      <c r="C173" s="10" t="s">
        <v>1022</v>
      </c>
      <c r="D173" s="10" t="s">
        <v>46</v>
      </c>
      <c r="E173" s="83" t="s">
        <v>516</v>
      </c>
      <c r="F173" s="84">
        <v>1</v>
      </c>
      <c r="G173" s="24">
        <f t="shared" si="7"/>
        <v>143.55000000000001</v>
      </c>
      <c r="H173" s="24">
        <f t="shared" si="8"/>
        <v>0</v>
      </c>
      <c r="I173" s="24">
        <v>143.55000000000001</v>
      </c>
      <c r="J173" s="24">
        <v>0</v>
      </c>
      <c r="K173" s="24">
        <v>143.55000000000001</v>
      </c>
      <c r="L173" s="24">
        <v>0</v>
      </c>
    </row>
    <row r="174" spans="1:12">
      <c r="A174" s="10" t="str">
        <f t="shared" ca="1" si="6"/>
        <v/>
      </c>
      <c r="B174" s="82" t="s">
        <v>233</v>
      </c>
      <c r="C174" s="10" t="s">
        <v>1023</v>
      </c>
      <c r="D174" s="10" t="s">
        <v>46</v>
      </c>
      <c r="E174" s="83" t="s">
        <v>779</v>
      </c>
      <c r="F174" s="84">
        <v>1</v>
      </c>
      <c r="G174" s="24">
        <f t="shared" si="7"/>
        <v>143.55000000000001</v>
      </c>
      <c r="H174" s="24">
        <f t="shared" si="8"/>
        <v>0</v>
      </c>
      <c r="I174" s="24">
        <v>143.55000000000001</v>
      </c>
      <c r="J174" s="24">
        <v>0</v>
      </c>
      <c r="K174" s="24">
        <v>143.55000000000001</v>
      </c>
      <c r="L174" s="24">
        <v>0</v>
      </c>
    </row>
    <row r="175" spans="1:12">
      <c r="A175" s="10" t="str">
        <f t="shared" ca="1" si="6"/>
        <v/>
      </c>
      <c r="B175" s="82" t="s">
        <v>233</v>
      </c>
      <c r="C175" s="10" t="s">
        <v>1024</v>
      </c>
      <c r="D175" s="10" t="s">
        <v>46</v>
      </c>
      <c r="E175" s="83" t="s">
        <v>571</v>
      </c>
      <c r="F175" s="84">
        <v>2</v>
      </c>
      <c r="G175" s="24">
        <f t="shared" si="7"/>
        <v>71.775000000000006</v>
      </c>
      <c r="H175" s="24">
        <f t="shared" si="8"/>
        <v>0</v>
      </c>
      <c r="I175" s="24">
        <v>71.775000000000006</v>
      </c>
      <c r="J175" s="24">
        <v>0</v>
      </c>
      <c r="K175" s="24">
        <v>71.775000000000006</v>
      </c>
      <c r="L175" s="24">
        <v>0</v>
      </c>
    </row>
    <row r="176" spans="1:12">
      <c r="A176" s="10" t="str">
        <f t="shared" ca="1" si="6"/>
        <v/>
      </c>
      <c r="B176" s="82" t="s">
        <v>233</v>
      </c>
      <c r="C176" s="10" t="s">
        <v>1025</v>
      </c>
      <c r="D176" s="10" t="s">
        <v>46</v>
      </c>
      <c r="E176" s="83" t="s">
        <v>537</v>
      </c>
      <c r="F176" s="84">
        <v>2</v>
      </c>
      <c r="G176" s="24">
        <f t="shared" si="7"/>
        <v>1148.4000000000001</v>
      </c>
      <c r="H176" s="24">
        <f t="shared" si="8"/>
        <v>0</v>
      </c>
      <c r="I176" s="24">
        <v>1148.4000000000001</v>
      </c>
      <c r="J176" s="24">
        <v>0</v>
      </c>
      <c r="K176" s="24">
        <v>1148.4000000000001</v>
      </c>
      <c r="L176" s="24">
        <v>0</v>
      </c>
    </row>
    <row r="177" spans="1:12">
      <c r="A177" s="10">
        <f t="shared" ca="1" si="6"/>
        <v>180</v>
      </c>
      <c r="B177" s="82" t="s">
        <v>273</v>
      </c>
      <c r="C177" s="10" t="s">
        <v>1026</v>
      </c>
      <c r="D177" s="10" t="s">
        <v>46</v>
      </c>
      <c r="E177" s="83" t="s">
        <v>574</v>
      </c>
      <c r="F177" s="84">
        <v>1</v>
      </c>
      <c r="G177" s="24">
        <f t="shared" si="7"/>
        <v>189.43172970957528</v>
      </c>
      <c r="H177" s="24">
        <f t="shared" si="8"/>
        <v>0</v>
      </c>
      <c r="I177" s="24">
        <v>189.43172970957528</v>
      </c>
      <c r="J177" s="24">
        <v>0</v>
      </c>
      <c r="K177" s="24">
        <v>189.43172970957528</v>
      </c>
      <c r="L177" s="24">
        <v>0</v>
      </c>
    </row>
    <row r="178" spans="1:12">
      <c r="A178" s="10" t="str">
        <f t="shared" ca="1" si="6"/>
        <v/>
      </c>
      <c r="B178" s="82" t="s">
        <v>273</v>
      </c>
      <c r="C178" s="10" t="s">
        <v>1027</v>
      </c>
      <c r="D178" s="10" t="s">
        <v>46</v>
      </c>
      <c r="E178" s="83" t="s">
        <v>575</v>
      </c>
      <c r="F178" s="84">
        <v>1</v>
      </c>
      <c r="G178" s="24">
        <f t="shared" si="7"/>
        <v>189.43172970957528</v>
      </c>
      <c r="H178" s="24">
        <f t="shared" si="8"/>
        <v>0</v>
      </c>
      <c r="I178" s="24">
        <v>189.43172970957528</v>
      </c>
      <c r="J178" s="24">
        <v>0</v>
      </c>
      <c r="K178" s="24">
        <v>189.43172970957528</v>
      </c>
      <c r="L178" s="24">
        <v>0</v>
      </c>
    </row>
    <row r="179" spans="1:12">
      <c r="A179" s="10" t="str">
        <f t="shared" ca="1" si="6"/>
        <v/>
      </c>
      <c r="B179" s="82" t="s">
        <v>273</v>
      </c>
      <c r="C179" s="10" t="s">
        <v>1028</v>
      </c>
      <c r="D179" s="10" t="s">
        <v>46</v>
      </c>
      <c r="E179" s="83" t="s">
        <v>576</v>
      </c>
      <c r="F179" s="84">
        <v>1</v>
      </c>
      <c r="G179" s="24">
        <f t="shared" si="7"/>
        <v>118.39483106848454</v>
      </c>
      <c r="H179" s="24">
        <f t="shared" si="8"/>
        <v>0</v>
      </c>
      <c r="I179" s="24">
        <v>118.39483106848454</v>
      </c>
      <c r="J179" s="24">
        <v>0</v>
      </c>
      <c r="K179" s="24">
        <v>118.39483106848454</v>
      </c>
      <c r="L179" s="24">
        <v>0</v>
      </c>
    </row>
    <row r="180" spans="1:12">
      <c r="A180" s="10" t="str">
        <f t="shared" ca="1" si="6"/>
        <v/>
      </c>
      <c r="B180" s="82" t="s">
        <v>273</v>
      </c>
      <c r="C180" s="10" t="s">
        <v>1029</v>
      </c>
      <c r="D180" s="10" t="s">
        <v>46</v>
      </c>
      <c r="E180" s="83" t="s">
        <v>567</v>
      </c>
      <c r="F180" s="84">
        <v>1</v>
      </c>
      <c r="G180" s="24">
        <f t="shared" si="7"/>
        <v>189.43172970957528</v>
      </c>
      <c r="H180" s="24">
        <f t="shared" si="8"/>
        <v>0</v>
      </c>
      <c r="I180" s="24">
        <v>189.43172970957528</v>
      </c>
      <c r="J180" s="24">
        <v>0</v>
      </c>
      <c r="K180" s="24">
        <v>189.43172970957528</v>
      </c>
      <c r="L180" s="24">
        <v>0</v>
      </c>
    </row>
    <row r="181" spans="1:12">
      <c r="A181" s="10">
        <f t="shared" ca="1" si="6"/>
        <v>190</v>
      </c>
      <c r="B181" s="82" t="s">
        <v>289</v>
      </c>
      <c r="C181" s="10" t="s">
        <v>1030</v>
      </c>
      <c r="D181" s="10" t="s">
        <v>47</v>
      </c>
      <c r="E181" s="83" t="s">
        <v>577</v>
      </c>
      <c r="F181" s="84">
        <v>2</v>
      </c>
      <c r="G181" s="24">
        <f t="shared" si="7"/>
        <v>3028.7279978262586</v>
      </c>
      <c r="H181" s="24">
        <f t="shared" si="8"/>
        <v>0</v>
      </c>
      <c r="I181" s="24">
        <v>3028.7279978262586</v>
      </c>
      <c r="J181" s="24">
        <v>0</v>
      </c>
      <c r="K181" s="24">
        <v>3028.7279978262586</v>
      </c>
      <c r="L181" s="24">
        <v>0</v>
      </c>
    </row>
    <row r="182" spans="1:12">
      <c r="A182" s="10" t="str">
        <f t="shared" ca="1" si="6"/>
        <v/>
      </c>
      <c r="B182" s="82" t="s">
        <v>289</v>
      </c>
      <c r="C182" s="10" t="s">
        <v>1031</v>
      </c>
      <c r="D182" s="10" t="s">
        <v>47</v>
      </c>
      <c r="E182" s="83" t="s">
        <v>539</v>
      </c>
      <c r="F182" s="84">
        <v>1</v>
      </c>
      <c r="G182" s="24">
        <f t="shared" si="7"/>
        <v>3028.7279978262586</v>
      </c>
      <c r="H182" s="24">
        <f t="shared" si="8"/>
        <v>0</v>
      </c>
      <c r="I182" s="24">
        <v>3028.7279978262586</v>
      </c>
      <c r="J182" s="24">
        <v>0</v>
      </c>
      <c r="K182" s="24">
        <v>3028.7279978262586</v>
      </c>
      <c r="L182" s="24">
        <v>0</v>
      </c>
    </row>
    <row r="183" spans="1:12">
      <c r="A183" s="10" t="str">
        <f t="shared" ca="1" si="6"/>
        <v/>
      </c>
      <c r="B183" s="82" t="s">
        <v>289</v>
      </c>
      <c r="C183" s="10" t="s">
        <v>1032</v>
      </c>
      <c r="D183" s="10" t="s">
        <v>47</v>
      </c>
      <c r="E183" s="83" t="s">
        <v>518</v>
      </c>
      <c r="F183" s="84">
        <v>1</v>
      </c>
      <c r="G183" s="24">
        <f t="shared" si="7"/>
        <v>3028.7279978262586</v>
      </c>
      <c r="H183" s="24">
        <f t="shared" si="8"/>
        <v>0</v>
      </c>
      <c r="I183" s="24">
        <v>3028.7279978262586</v>
      </c>
      <c r="J183" s="24">
        <v>0</v>
      </c>
      <c r="K183" s="24">
        <v>3028.7279978262586</v>
      </c>
      <c r="L183" s="24">
        <v>0</v>
      </c>
    </row>
    <row r="184" spans="1:12">
      <c r="A184" s="10" t="str">
        <f t="shared" ca="1" si="6"/>
        <v/>
      </c>
      <c r="B184" s="82" t="s">
        <v>289</v>
      </c>
      <c r="C184" s="10" t="s">
        <v>1033</v>
      </c>
      <c r="D184" s="10" t="s">
        <v>47</v>
      </c>
      <c r="E184" s="83" t="s">
        <v>578</v>
      </c>
      <c r="F184" s="84">
        <v>1</v>
      </c>
      <c r="G184" s="24">
        <f t="shared" si="7"/>
        <v>3028.7279978262586</v>
      </c>
      <c r="H184" s="24">
        <f t="shared" si="8"/>
        <v>0</v>
      </c>
      <c r="I184" s="24">
        <v>3028.7279978262586</v>
      </c>
      <c r="J184" s="24">
        <v>0</v>
      </c>
      <c r="K184" s="24">
        <v>3028.7279978262586</v>
      </c>
      <c r="L184" s="24">
        <v>0</v>
      </c>
    </row>
    <row r="185" spans="1:12">
      <c r="A185" s="10" t="str">
        <f t="shared" ca="1" si="6"/>
        <v/>
      </c>
      <c r="B185" s="82" t="s">
        <v>289</v>
      </c>
      <c r="C185" s="10" t="s">
        <v>1034</v>
      </c>
      <c r="D185" s="10" t="s">
        <v>47</v>
      </c>
      <c r="E185" s="83" t="s">
        <v>534</v>
      </c>
      <c r="F185" s="84">
        <v>1</v>
      </c>
      <c r="G185" s="24">
        <f t="shared" si="7"/>
        <v>3028.7279978262586</v>
      </c>
      <c r="H185" s="24">
        <f t="shared" si="8"/>
        <v>0</v>
      </c>
      <c r="I185" s="24">
        <v>3028.7279978262586</v>
      </c>
      <c r="J185" s="24">
        <v>0</v>
      </c>
      <c r="K185" s="24">
        <v>3028.7279978262586</v>
      </c>
      <c r="L185" s="24">
        <v>0</v>
      </c>
    </row>
    <row r="186" spans="1:12">
      <c r="A186" s="10" t="str">
        <f t="shared" ca="1" si="6"/>
        <v/>
      </c>
      <c r="B186" s="82" t="s">
        <v>289</v>
      </c>
      <c r="C186" s="10" t="s">
        <v>1035</v>
      </c>
      <c r="D186" s="10" t="s">
        <v>47</v>
      </c>
      <c r="E186" s="83" t="s">
        <v>579</v>
      </c>
      <c r="F186" s="84">
        <v>1</v>
      </c>
      <c r="G186" s="24">
        <f t="shared" si="7"/>
        <v>3028.7279978262586</v>
      </c>
      <c r="H186" s="24">
        <f t="shared" si="8"/>
        <v>0</v>
      </c>
      <c r="I186" s="24">
        <v>3028.7279978262586</v>
      </c>
      <c r="J186" s="24">
        <v>0</v>
      </c>
      <c r="K186" s="24">
        <v>3028.7279978262586</v>
      </c>
      <c r="L186" s="24">
        <v>0</v>
      </c>
    </row>
    <row r="187" spans="1:12">
      <c r="A187" s="10" t="str">
        <f t="shared" ca="1" si="6"/>
        <v/>
      </c>
      <c r="B187" s="82" t="s">
        <v>289</v>
      </c>
      <c r="C187" s="10" t="s">
        <v>1036</v>
      </c>
      <c r="D187" s="10" t="s">
        <v>47</v>
      </c>
      <c r="E187" s="83" t="s">
        <v>580</v>
      </c>
      <c r="F187" s="84">
        <v>2</v>
      </c>
      <c r="G187" s="24">
        <f t="shared" si="7"/>
        <v>3028.7279978262586</v>
      </c>
      <c r="H187" s="24">
        <f t="shared" si="8"/>
        <v>0</v>
      </c>
      <c r="I187" s="24">
        <v>3028.7279978262586</v>
      </c>
      <c r="J187" s="24">
        <v>0</v>
      </c>
      <c r="K187" s="24">
        <v>3028.7279978262586</v>
      </c>
      <c r="L187" s="24">
        <v>0</v>
      </c>
    </row>
    <row r="188" spans="1:12">
      <c r="A188" s="10" t="str">
        <f t="shared" ca="1" si="6"/>
        <v/>
      </c>
      <c r="B188" s="82" t="s">
        <v>289</v>
      </c>
      <c r="C188" s="10" t="s">
        <v>1037</v>
      </c>
      <c r="D188" s="10" t="s">
        <v>47</v>
      </c>
      <c r="E188" s="83" t="s">
        <v>581</v>
      </c>
      <c r="F188" s="84">
        <v>2</v>
      </c>
      <c r="G188" s="24">
        <f t="shared" si="7"/>
        <v>3028.7279978262586</v>
      </c>
      <c r="H188" s="24">
        <f t="shared" si="8"/>
        <v>0</v>
      </c>
      <c r="I188" s="24">
        <v>3028.7279978262586</v>
      </c>
      <c r="J188" s="24">
        <v>0</v>
      </c>
      <c r="K188" s="24">
        <v>3028.7279978262586</v>
      </c>
      <c r="L188" s="24">
        <v>0</v>
      </c>
    </row>
    <row r="189" spans="1:12">
      <c r="A189" s="10" t="str">
        <f t="shared" ca="1" si="6"/>
        <v/>
      </c>
      <c r="B189" s="82" t="s">
        <v>289</v>
      </c>
      <c r="C189" s="10" t="s">
        <v>1038</v>
      </c>
      <c r="D189" s="10" t="s">
        <v>47</v>
      </c>
      <c r="E189" s="83" t="s">
        <v>512</v>
      </c>
      <c r="F189" s="84">
        <v>3</v>
      </c>
      <c r="G189" s="24">
        <f t="shared" si="7"/>
        <v>10095.759992754194</v>
      </c>
      <c r="H189" s="24">
        <f t="shared" si="8"/>
        <v>0</v>
      </c>
      <c r="I189" s="24">
        <v>10095.759992754194</v>
      </c>
      <c r="J189" s="24">
        <v>0</v>
      </c>
      <c r="K189" s="24">
        <v>10095.759992754194</v>
      </c>
      <c r="L189" s="24">
        <v>0</v>
      </c>
    </row>
    <row r="190" spans="1:12">
      <c r="A190" s="10" t="str">
        <f t="shared" ca="1" si="6"/>
        <v/>
      </c>
      <c r="B190" s="82" t="s">
        <v>289</v>
      </c>
      <c r="C190" s="10" t="s">
        <v>1039</v>
      </c>
      <c r="D190" s="10" t="s">
        <v>47</v>
      </c>
      <c r="E190" s="83" t="s">
        <v>535</v>
      </c>
      <c r="F190" s="84">
        <v>1</v>
      </c>
      <c r="G190" s="24">
        <f t="shared" si="7"/>
        <v>3028.7279978262586</v>
      </c>
      <c r="H190" s="24">
        <f t="shared" si="8"/>
        <v>0</v>
      </c>
      <c r="I190" s="24">
        <v>3028.7279978262586</v>
      </c>
      <c r="J190" s="24">
        <v>0</v>
      </c>
      <c r="K190" s="24">
        <v>3028.7279978262586</v>
      </c>
      <c r="L190" s="24">
        <v>0</v>
      </c>
    </row>
    <row r="191" spans="1:12">
      <c r="A191" s="10">
        <f t="shared" ca="1" si="6"/>
        <v>203</v>
      </c>
      <c r="B191" s="82" t="s">
        <v>284</v>
      </c>
      <c r="C191" s="10" t="s">
        <v>1040</v>
      </c>
      <c r="D191" s="10" t="s">
        <v>47</v>
      </c>
      <c r="E191" s="83" t="s">
        <v>529</v>
      </c>
      <c r="F191" s="84">
        <v>1</v>
      </c>
      <c r="G191" s="24">
        <f t="shared" si="7"/>
        <v>10364.967508485655</v>
      </c>
      <c r="H191" s="24">
        <f t="shared" si="8"/>
        <v>0</v>
      </c>
      <c r="I191" s="24">
        <v>10364.967508485655</v>
      </c>
      <c r="J191" s="24">
        <v>0</v>
      </c>
      <c r="K191" s="24">
        <v>10364.967508485655</v>
      </c>
      <c r="L191" s="24">
        <v>0</v>
      </c>
    </row>
    <row r="192" spans="1:12">
      <c r="A192" s="10" t="str">
        <f t="shared" ca="1" si="6"/>
        <v/>
      </c>
      <c r="B192" s="82" t="s">
        <v>284</v>
      </c>
      <c r="C192" s="10" t="s">
        <v>1041</v>
      </c>
      <c r="D192" s="10" t="s">
        <v>47</v>
      </c>
      <c r="E192" s="83" t="s">
        <v>582</v>
      </c>
      <c r="F192" s="84">
        <v>1</v>
      </c>
      <c r="G192" s="24">
        <f t="shared" si="7"/>
        <v>10364.967508485655</v>
      </c>
      <c r="H192" s="24">
        <f t="shared" si="8"/>
        <v>0</v>
      </c>
      <c r="I192" s="24">
        <v>10364.967508485655</v>
      </c>
      <c r="J192" s="24">
        <v>0</v>
      </c>
      <c r="K192" s="24">
        <v>10364.967508485655</v>
      </c>
      <c r="L192" s="24">
        <v>0</v>
      </c>
    </row>
    <row r="193" spans="1:12">
      <c r="A193" s="10" t="str">
        <f t="shared" ca="1" si="6"/>
        <v/>
      </c>
      <c r="B193" s="82" t="s">
        <v>284</v>
      </c>
      <c r="C193" s="10" t="s">
        <v>1042</v>
      </c>
      <c r="D193" s="10" t="s">
        <v>47</v>
      </c>
      <c r="E193" s="83" t="s">
        <v>581</v>
      </c>
      <c r="F193" s="84">
        <v>2</v>
      </c>
      <c r="G193" s="24">
        <f t="shared" si="7"/>
        <v>17620.444764425614</v>
      </c>
      <c r="H193" s="24">
        <f t="shared" si="8"/>
        <v>0</v>
      </c>
      <c r="I193" s="24">
        <v>17620.444764425614</v>
      </c>
      <c r="J193" s="24">
        <v>0</v>
      </c>
      <c r="K193" s="24">
        <v>17620.444764425614</v>
      </c>
      <c r="L193" s="24">
        <v>0</v>
      </c>
    </row>
    <row r="194" spans="1:12">
      <c r="A194" s="10" t="str">
        <f t="shared" ref="A194:A257" ca="1" si="9">IF(B193=B194,"",ROW(A194)-1+MATCH(B194,INDIRECT("B"&amp;ROW(A194)&amp;":"&amp;"B"&amp;$A$1),1))</f>
        <v/>
      </c>
      <c r="B194" s="82" t="s">
        <v>284</v>
      </c>
      <c r="C194" s="10" t="s">
        <v>1043</v>
      </c>
      <c r="D194" s="10" t="s">
        <v>47</v>
      </c>
      <c r="E194" s="83" t="s">
        <v>514</v>
      </c>
      <c r="F194" s="84">
        <v>2</v>
      </c>
      <c r="G194" s="24">
        <f t="shared" ref="G194:G257" si="10">IF($N$2=1,I194,K194)</f>
        <v>5182.4837542428277</v>
      </c>
      <c r="H194" s="24">
        <f t="shared" ref="H194:H257" si="11">IF($N$2=1,J194,L194)</f>
        <v>0</v>
      </c>
      <c r="I194" s="24">
        <v>5182.4837542428277</v>
      </c>
      <c r="J194" s="24">
        <v>0</v>
      </c>
      <c r="K194" s="24">
        <v>5182.4837542428277</v>
      </c>
      <c r="L194" s="24">
        <v>0</v>
      </c>
    </row>
    <row r="195" spans="1:12">
      <c r="A195" s="10" t="str">
        <f t="shared" ca="1" si="9"/>
        <v/>
      </c>
      <c r="B195" s="82" t="s">
        <v>284</v>
      </c>
      <c r="C195" s="10" t="s">
        <v>1044</v>
      </c>
      <c r="D195" s="10" t="s">
        <v>47</v>
      </c>
      <c r="E195" s="83" t="s">
        <v>522</v>
      </c>
      <c r="F195" s="84">
        <v>2</v>
      </c>
      <c r="G195" s="24">
        <f t="shared" si="10"/>
        <v>25912.418771214136</v>
      </c>
      <c r="H195" s="24">
        <f t="shared" si="11"/>
        <v>0</v>
      </c>
      <c r="I195" s="24">
        <v>25912.418771214136</v>
      </c>
      <c r="J195" s="24">
        <v>0</v>
      </c>
      <c r="K195" s="24">
        <v>25912.418771214136</v>
      </c>
      <c r="L195" s="24">
        <v>0</v>
      </c>
    </row>
    <row r="196" spans="1:12">
      <c r="A196" s="10" t="str">
        <f t="shared" ca="1" si="9"/>
        <v/>
      </c>
      <c r="B196" s="82" t="s">
        <v>284</v>
      </c>
      <c r="C196" s="10" t="s">
        <v>1045</v>
      </c>
      <c r="D196" s="10" t="s">
        <v>47</v>
      </c>
      <c r="E196" s="83" t="s">
        <v>546</v>
      </c>
      <c r="F196" s="84">
        <v>2</v>
      </c>
      <c r="G196" s="24">
        <f t="shared" si="10"/>
        <v>31094.902525456961</v>
      </c>
      <c r="H196" s="24">
        <f t="shared" si="11"/>
        <v>0</v>
      </c>
      <c r="I196" s="24">
        <v>31094.902525456961</v>
      </c>
      <c r="J196" s="24">
        <v>0</v>
      </c>
      <c r="K196" s="24">
        <v>31094.902525456961</v>
      </c>
      <c r="L196" s="24">
        <v>0</v>
      </c>
    </row>
    <row r="197" spans="1:12">
      <c r="A197" s="10" t="str">
        <f t="shared" ca="1" si="9"/>
        <v/>
      </c>
      <c r="B197" s="82" t="s">
        <v>284</v>
      </c>
      <c r="C197" s="10" t="s">
        <v>1046</v>
      </c>
      <c r="D197" s="10" t="s">
        <v>47</v>
      </c>
      <c r="E197" s="83" t="s">
        <v>511</v>
      </c>
      <c r="F197" s="84">
        <v>1</v>
      </c>
      <c r="G197" s="24">
        <f t="shared" si="10"/>
        <v>15547.45126272848</v>
      </c>
      <c r="H197" s="24">
        <f t="shared" si="11"/>
        <v>0</v>
      </c>
      <c r="I197" s="24">
        <v>15547.45126272848</v>
      </c>
      <c r="J197" s="24">
        <v>0</v>
      </c>
      <c r="K197" s="24">
        <v>15547.45126272848</v>
      </c>
      <c r="L197" s="24">
        <v>0</v>
      </c>
    </row>
    <row r="198" spans="1:12">
      <c r="A198" s="10" t="str">
        <f t="shared" ca="1" si="9"/>
        <v/>
      </c>
      <c r="B198" s="82" t="s">
        <v>284</v>
      </c>
      <c r="C198" s="10" t="s">
        <v>1047</v>
      </c>
      <c r="D198" s="10" t="s">
        <v>47</v>
      </c>
      <c r="E198" s="83" t="s">
        <v>512</v>
      </c>
      <c r="F198" s="84">
        <v>1</v>
      </c>
      <c r="G198" s="24">
        <f t="shared" si="10"/>
        <v>41459.870033942621</v>
      </c>
      <c r="H198" s="24">
        <f t="shared" si="11"/>
        <v>0</v>
      </c>
      <c r="I198" s="24">
        <v>41459.870033942621</v>
      </c>
      <c r="J198" s="24">
        <v>0</v>
      </c>
      <c r="K198" s="24">
        <v>41459.870033942621</v>
      </c>
      <c r="L198" s="24">
        <v>0</v>
      </c>
    </row>
    <row r="199" spans="1:12">
      <c r="A199" s="10" t="str">
        <f t="shared" ca="1" si="9"/>
        <v/>
      </c>
      <c r="B199" s="82" t="s">
        <v>284</v>
      </c>
      <c r="C199" s="10" t="s">
        <v>1048</v>
      </c>
      <c r="D199" s="10" t="s">
        <v>47</v>
      </c>
      <c r="E199" s="83" t="s">
        <v>583</v>
      </c>
      <c r="F199" s="84">
        <v>1</v>
      </c>
      <c r="G199" s="24">
        <f t="shared" si="10"/>
        <v>15547.45126272848</v>
      </c>
      <c r="H199" s="24">
        <f t="shared" si="11"/>
        <v>0</v>
      </c>
      <c r="I199" s="24">
        <v>15547.45126272848</v>
      </c>
      <c r="J199" s="24">
        <v>0</v>
      </c>
      <c r="K199" s="24">
        <v>15547.45126272848</v>
      </c>
      <c r="L199" s="24">
        <v>0</v>
      </c>
    </row>
    <row r="200" spans="1:12">
      <c r="A200" s="10" t="str">
        <f t="shared" ca="1" si="9"/>
        <v/>
      </c>
      <c r="B200" s="82" t="s">
        <v>284</v>
      </c>
      <c r="C200" s="10" t="s">
        <v>1049</v>
      </c>
      <c r="D200" s="10" t="s">
        <v>47</v>
      </c>
      <c r="E200" s="83" t="s">
        <v>536</v>
      </c>
      <c r="F200" s="84">
        <v>4</v>
      </c>
      <c r="G200" s="24">
        <f t="shared" si="10"/>
        <v>15547.45126272848</v>
      </c>
      <c r="H200" s="24">
        <f t="shared" si="11"/>
        <v>0</v>
      </c>
      <c r="I200" s="24">
        <v>15547.45126272848</v>
      </c>
      <c r="J200" s="24">
        <v>0</v>
      </c>
      <c r="K200" s="24">
        <v>15547.45126272848</v>
      </c>
      <c r="L200" s="24">
        <v>0</v>
      </c>
    </row>
    <row r="201" spans="1:12">
      <c r="A201" s="10" t="str">
        <f t="shared" ca="1" si="9"/>
        <v/>
      </c>
      <c r="B201" s="82" t="s">
        <v>284</v>
      </c>
      <c r="C201" s="10" t="s">
        <v>1050</v>
      </c>
      <c r="D201" s="10" t="s">
        <v>47</v>
      </c>
      <c r="E201" s="83" t="s">
        <v>523</v>
      </c>
      <c r="F201" s="84">
        <v>2</v>
      </c>
      <c r="G201" s="24">
        <f t="shared" si="10"/>
        <v>18656.941515274175</v>
      </c>
      <c r="H201" s="24">
        <f t="shared" si="11"/>
        <v>0</v>
      </c>
      <c r="I201" s="24">
        <v>18656.941515274175</v>
      </c>
      <c r="J201" s="24">
        <v>0</v>
      </c>
      <c r="K201" s="24">
        <v>18656.941515274175</v>
      </c>
      <c r="L201" s="24">
        <v>0</v>
      </c>
    </row>
    <row r="202" spans="1:12">
      <c r="A202" s="10" t="str">
        <f t="shared" ca="1" si="9"/>
        <v/>
      </c>
      <c r="B202" s="82" t="s">
        <v>284</v>
      </c>
      <c r="C202" s="10" t="s">
        <v>1051</v>
      </c>
      <c r="D202" s="10" t="s">
        <v>47</v>
      </c>
      <c r="E202" s="83" t="s">
        <v>525</v>
      </c>
      <c r="F202" s="84">
        <v>1</v>
      </c>
      <c r="G202" s="24">
        <f t="shared" si="10"/>
        <v>15547.45126272848</v>
      </c>
      <c r="H202" s="24">
        <f t="shared" si="11"/>
        <v>0</v>
      </c>
      <c r="I202" s="24">
        <v>15547.45126272848</v>
      </c>
      <c r="J202" s="24">
        <v>0</v>
      </c>
      <c r="K202" s="24">
        <v>15547.45126272848</v>
      </c>
      <c r="L202" s="24">
        <v>0</v>
      </c>
    </row>
    <row r="203" spans="1:12">
      <c r="A203" s="10" t="str">
        <f t="shared" ca="1" si="9"/>
        <v/>
      </c>
      <c r="B203" s="82" t="s">
        <v>284</v>
      </c>
      <c r="C203" s="10" t="s">
        <v>1052</v>
      </c>
      <c r="D203" s="10" t="s">
        <v>47</v>
      </c>
      <c r="E203" s="83" t="s">
        <v>537</v>
      </c>
      <c r="F203" s="84">
        <v>2</v>
      </c>
      <c r="G203" s="24">
        <f t="shared" si="10"/>
        <v>15547.45126272848</v>
      </c>
      <c r="H203" s="24">
        <f t="shared" si="11"/>
        <v>0</v>
      </c>
      <c r="I203" s="24">
        <v>15547.45126272848</v>
      </c>
      <c r="J203" s="24">
        <v>0</v>
      </c>
      <c r="K203" s="24">
        <v>15547.45126272848</v>
      </c>
      <c r="L203" s="24">
        <v>0</v>
      </c>
    </row>
    <row r="204" spans="1:12">
      <c r="A204" s="10">
        <f t="shared" ca="1" si="9"/>
        <v>213</v>
      </c>
      <c r="B204" s="82" t="s">
        <v>283</v>
      </c>
      <c r="C204" s="10" t="s">
        <v>1053</v>
      </c>
      <c r="D204" s="10" t="s">
        <v>47</v>
      </c>
      <c r="E204" s="83" t="s">
        <v>518</v>
      </c>
      <c r="F204" s="84">
        <v>1</v>
      </c>
      <c r="G204" s="24">
        <f t="shared" si="10"/>
        <v>11662.286880617261</v>
      </c>
      <c r="H204" s="24">
        <f t="shared" si="11"/>
        <v>0</v>
      </c>
      <c r="I204" s="24">
        <v>11662.286880617261</v>
      </c>
      <c r="J204" s="24">
        <v>0</v>
      </c>
      <c r="K204" s="24">
        <v>11662.286880617261</v>
      </c>
      <c r="L204" s="24">
        <v>0</v>
      </c>
    </row>
    <row r="205" spans="1:12">
      <c r="A205" s="10" t="str">
        <f t="shared" ca="1" si="9"/>
        <v/>
      </c>
      <c r="B205" s="82" t="s">
        <v>283</v>
      </c>
      <c r="C205" s="10" t="s">
        <v>1054</v>
      </c>
      <c r="D205" s="10" t="s">
        <v>47</v>
      </c>
      <c r="E205" s="83" t="s">
        <v>584</v>
      </c>
      <c r="F205" s="84">
        <v>1</v>
      </c>
      <c r="G205" s="24">
        <f t="shared" si="10"/>
        <v>11662.286880617261</v>
      </c>
      <c r="H205" s="24">
        <f t="shared" si="11"/>
        <v>0</v>
      </c>
      <c r="I205" s="24">
        <v>11662.286880617261</v>
      </c>
      <c r="J205" s="24">
        <v>0</v>
      </c>
      <c r="K205" s="24">
        <v>11662.286880617261</v>
      </c>
      <c r="L205" s="24">
        <v>0</v>
      </c>
    </row>
    <row r="206" spans="1:12">
      <c r="A206" s="10" t="str">
        <f t="shared" ca="1" si="9"/>
        <v/>
      </c>
      <c r="B206" s="82" t="s">
        <v>283</v>
      </c>
      <c r="C206" s="10" t="s">
        <v>1055</v>
      </c>
      <c r="D206" s="10" t="s">
        <v>47</v>
      </c>
      <c r="E206" s="83" t="s">
        <v>530</v>
      </c>
      <c r="F206" s="84">
        <v>2</v>
      </c>
      <c r="G206" s="24">
        <f t="shared" si="10"/>
        <v>11662.286880617261</v>
      </c>
      <c r="H206" s="24">
        <f t="shared" si="11"/>
        <v>0</v>
      </c>
      <c r="I206" s="24">
        <v>11662.286880617261</v>
      </c>
      <c r="J206" s="24">
        <v>0</v>
      </c>
      <c r="K206" s="24">
        <v>11662.286880617261</v>
      </c>
      <c r="L206" s="24">
        <v>0</v>
      </c>
    </row>
    <row r="207" spans="1:12">
      <c r="A207" s="10" t="str">
        <f t="shared" ca="1" si="9"/>
        <v/>
      </c>
      <c r="B207" s="82" t="s">
        <v>283</v>
      </c>
      <c r="C207" s="10" t="s">
        <v>1056</v>
      </c>
      <c r="D207" s="10" t="s">
        <v>47</v>
      </c>
      <c r="E207" s="83" t="s">
        <v>513</v>
      </c>
      <c r="F207" s="84">
        <v>1</v>
      </c>
      <c r="G207" s="24">
        <f t="shared" si="10"/>
        <v>23324.573761234522</v>
      </c>
      <c r="H207" s="24">
        <f t="shared" si="11"/>
        <v>0</v>
      </c>
      <c r="I207" s="24">
        <v>23324.573761234522</v>
      </c>
      <c r="J207" s="24">
        <v>0</v>
      </c>
      <c r="K207" s="24">
        <v>23324.573761234522</v>
      </c>
      <c r="L207" s="24">
        <v>0</v>
      </c>
    </row>
    <row r="208" spans="1:12">
      <c r="A208" s="10" t="str">
        <f t="shared" ca="1" si="9"/>
        <v/>
      </c>
      <c r="B208" s="82" t="s">
        <v>283</v>
      </c>
      <c r="C208" s="10" t="s">
        <v>1057</v>
      </c>
      <c r="D208" s="10" t="s">
        <v>47</v>
      </c>
      <c r="E208" s="83" t="s">
        <v>581</v>
      </c>
      <c r="F208" s="84">
        <v>2</v>
      </c>
      <c r="G208" s="24">
        <f t="shared" si="10"/>
        <v>11662.286880617261</v>
      </c>
      <c r="H208" s="24">
        <f t="shared" si="11"/>
        <v>0</v>
      </c>
      <c r="I208" s="24">
        <v>11662.286880617261</v>
      </c>
      <c r="J208" s="24">
        <v>0</v>
      </c>
      <c r="K208" s="24">
        <v>11662.286880617261</v>
      </c>
      <c r="L208" s="24">
        <v>0</v>
      </c>
    </row>
    <row r="209" spans="1:12">
      <c r="A209" s="10" t="str">
        <f t="shared" ca="1" si="9"/>
        <v/>
      </c>
      <c r="B209" s="82" t="s">
        <v>283</v>
      </c>
      <c r="C209" s="10" t="s">
        <v>1058</v>
      </c>
      <c r="D209" s="10" t="s">
        <v>47</v>
      </c>
      <c r="E209" s="83" t="s">
        <v>522</v>
      </c>
      <c r="F209" s="84">
        <v>2</v>
      </c>
      <c r="G209" s="24">
        <f t="shared" si="10"/>
        <v>11662.286880617261</v>
      </c>
      <c r="H209" s="24">
        <f t="shared" si="11"/>
        <v>0</v>
      </c>
      <c r="I209" s="24">
        <v>11662.286880617261</v>
      </c>
      <c r="J209" s="24">
        <v>0</v>
      </c>
      <c r="K209" s="24">
        <v>11662.286880617261</v>
      </c>
      <c r="L209" s="24">
        <v>0</v>
      </c>
    </row>
    <row r="210" spans="1:12">
      <c r="A210" s="10" t="str">
        <f t="shared" ca="1" si="9"/>
        <v/>
      </c>
      <c r="B210" s="82" t="s">
        <v>283</v>
      </c>
      <c r="C210" s="10" t="s">
        <v>1059</v>
      </c>
      <c r="D210" s="10" t="s">
        <v>47</v>
      </c>
      <c r="E210" s="83" t="s">
        <v>511</v>
      </c>
      <c r="F210" s="84">
        <v>2</v>
      </c>
      <c r="G210" s="24">
        <f t="shared" si="10"/>
        <v>58311.434403086299</v>
      </c>
      <c r="H210" s="24">
        <f t="shared" si="11"/>
        <v>0</v>
      </c>
      <c r="I210" s="24">
        <v>58311.434403086299</v>
      </c>
      <c r="J210" s="24">
        <v>0</v>
      </c>
      <c r="K210" s="24">
        <v>58311.434403086299</v>
      </c>
      <c r="L210" s="24">
        <v>0</v>
      </c>
    </row>
    <row r="211" spans="1:12">
      <c r="A211" s="10" t="str">
        <f t="shared" ca="1" si="9"/>
        <v/>
      </c>
      <c r="B211" s="82" t="s">
        <v>283</v>
      </c>
      <c r="C211" s="10" t="s">
        <v>1060</v>
      </c>
      <c r="D211" s="10" t="s">
        <v>47</v>
      </c>
      <c r="E211" s="83" t="s">
        <v>512</v>
      </c>
      <c r="F211" s="84">
        <v>2</v>
      </c>
      <c r="G211" s="24">
        <f t="shared" si="10"/>
        <v>29155.71720154315</v>
      </c>
      <c r="H211" s="24">
        <f t="shared" si="11"/>
        <v>0</v>
      </c>
      <c r="I211" s="24">
        <v>29155.71720154315</v>
      </c>
      <c r="J211" s="24">
        <v>0</v>
      </c>
      <c r="K211" s="24">
        <v>29155.71720154315</v>
      </c>
      <c r="L211" s="24">
        <v>0</v>
      </c>
    </row>
    <row r="212" spans="1:12">
      <c r="A212" s="10" t="str">
        <f t="shared" ca="1" si="9"/>
        <v/>
      </c>
      <c r="B212" s="82" t="s">
        <v>283</v>
      </c>
      <c r="C212" s="10" t="s">
        <v>1061</v>
      </c>
      <c r="D212" s="10" t="s">
        <v>47</v>
      </c>
      <c r="E212" s="83" t="s">
        <v>585</v>
      </c>
      <c r="F212" s="84">
        <v>1</v>
      </c>
      <c r="G212" s="24">
        <f t="shared" si="10"/>
        <v>11662.286880617261</v>
      </c>
      <c r="H212" s="24">
        <f t="shared" si="11"/>
        <v>0</v>
      </c>
      <c r="I212" s="24">
        <v>11662.286880617261</v>
      </c>
      <c r="J212" s="24">
        <v>0</v>
      </c>
      <c r="K212" s="24">
        <v>11662.286880617261</v>
      </c>
      <c r="L212" s="24">
        <v>0</v>
      </c>
    </row>
    <row r="213" spans="1:12">
      <c r="A213" s="10" t="str">
        <f t="shared" ca="1" si="9"/>
        <v/>
      </c>
      <c r="B213" s="82" t="s">
        <v>283</v>
      </c>
      <c r="C213" s="10" t="s">
        <v>1062</v>
      </c>
      <c r="D213" s="10" t="s">
        <v>47</v>
      </c>
      <c r="E213" s="83" t="s">
        <v>586</v>
      </c>
      <c r="F213" s="84">
        <v>1</v>
      </c>
      <c r="G213" s="24">
        <f t="shared" si="10"/>
        <v>11662.286880617261</v>
      </c>
      <c r="H213" s="24">
        <f t="shared" si="11"/>
        <v>0</v>
      </c>
      <c r="I213" s="24">
        <v>11662.286880617261</v>
      </c>
      <c r="J213" s="24">
        <v>0</v>
      </c>
      <c r="K213" s="24">
        <v>11662.286880617261</v>
      </c>
      <c r="L213" s="24">
        <v>0</v>
      </c>
    </row>
    <row r="214" spans="1:12">
      <c r="A214" s="10">
        <f t="shared" ca="1" si="9"/>
        <v>233</v>
      </c>
      <c r="B214" s="82" t="s">
        <v>252</v>
      </c>
      <c r="C214" s="10" t="s">
        <v>1063</v>
      </c>
      <c r="D214" s="10" t="s">
        <v>46</v>
      </c>
      <c r="E214" s="83" t="s">
        <v>548</v>
      </c>
      <c r="F214" s="84">
        <v>1</v>
      </c>
      <c r="G214" s="24">
        <f t="shared" si="10"/>
        <v>1229.5060668269166</v>
      </c>
      <c r="H214" s="24">
        <f t="shared" si="11"/>
        <v>0</v>
      </c>
      <c r="I214" s="24">
        <v>1229.5060668269166</v>
      </c>
      <c r="J214" s="24">
        <v>0</v>
      </c>
      <c r="K214" s="24">
        <v>1229.5060668269166</v>
      </c>
      <c r="L214" s="24">
        <v>0</v>
      </c>
    </row>
    <row r="215" spans="1:12">
      <c r="A215" s="10" t="str">
        <f t="shared" ca="1" si="9"/>
        <v/>
      </c>
      <c r="B215" s="82" t="s">
        <v>252</v>
      </c>
      <c r="C215" s="10" t="s">
        <v>1064</v>
      </c>
      <c r="D215" s="10" t="s">
        <v>46</v>
      </c>
      <c r="E215" s="83" t="s">
        <v>550</v>
      </c>
      <c r="F215" s="84">
        <v>1</v>
      </c>
      <c r="G215" s="24">
        <f t="shared" si="10"/>
        <v>22131.109202884498</v>
      </c>
      <c r="H215" s="24">
        <f t="shared" si="11"/>
        <v>0</v>
      </c>
      <c r="I215" s="24">
        <v>22131.109202884498</v>
      </c>
      <c r="J215" s="24">
        <v>0</v>
      </c>
      <c r="K215" s="24">
        <v>22131.109202884498</v>
      </c>
      <c r="L215" s="24">
        <v>0</v>
      </c>
    </row>
    <row r="216" spans="1:12">
      <c r="A216" s="10" t="str">
        <f t="shared" ca="1" si="9"/>
        <v/>
      </c>
      <c r="B216" s="82" t="s">
        <v>252</v>
      </c>
      <c r="C216" s="10" t="s">
        <v>1065</v>
      </c>
      <c r="D216" s="10" t="s">
        <v>46</v>
      </c>
      <c r="E216" s="83" t="s">
        <v>551</v>
      </c>
      <c r="F216" s="84">
        <v>3</v>
      </c>
      <c r="G216" s="24">
        <f t="shared" si="10"/>
        <v>6147.5303341345825</v>
      </c>
      <c r="H216" s="24">
        <f t="shared" si="11"/>
        <v>0</v>
      </c>
      <c r="I216" s="24">
        <v>6147.5303341345825</v>
      </c>
      <c r="J216" s="24">
        <v>0</v>
      </c>
      <c r="K216" s="24">
        <v>6147.5303341345825</v>
      </c>
      <c r="L216" s="24">
        <v>0</v>
      </c>
    </row>
    <row r="217" spans="1:12">
      <c r="A217" s="10" t="str">
        <f t="shared" ca="1" si="9"/>
        <v/>
      </c>
      <c r="B217" s="82" t="s">
        <v>252</v>
      </c>
      <c r="C217" s="10" t="s">
        <v>1066</v>
      </c>
      <c r="D217" s="10" t="s">
        <v>46</v>
      </c>
      <c r="E217" s="83" t="s">
        <v>780</v>
      </c>
      <c r="F217" s="84">
        <v>1</v>
      </c>
      <c r="G217" s="24">
        <f t="shared" si="10"/>
        <v>1229.5060668269166</v>
      </c>
      <c r="H217" s="24">
        <f t="shared" si="11"/>
        <v>0</v>
      </c>
      <c r="I217" s="24">
        <v>1229.5060668269166</v>
      </c>
      <c r="J217" s="24">
        <v>0</v>
      </c>
      <c r="K217" s="24">
        <v>1229.5060668269166</v>
      </c>
      <c r="L217" s="24">
        <v>0</v>
      </c>
    </row>
    <row r="218" spans="1:12">
      <c r="A218" s="10" t="str">
        <f t="shared" ca="1" si="9"/>
        <v/>
      </c>
      <c r="B218" s="82" t="s">
        <v>252</v>
      </c>
      <c r="C218" s="10" t="s">
        <v>1067</v>
      </c>
      <c r="D218" s="10" t="s">
        <v>46</v>
      </c>
      <c r="E218" s="83" t="s">
        <v>773</v>
      </c>
      <c r="F218" s="84">
        <v>1</v>
      </c>
      <c r="G218" s="24">
        <f t="shared" si="10"/>
        <v>2459.0121336538332</v>
      </c>
      <c r="H218" s="24">
        <f t="shared" si="11"/>
        <v>0</v>
      </c>
      <c r="I218" s="24">
        <v>2459.0121336538332</v>
      </c>
      <c r="J218" s="24">
        <v>0</v>
      </c>
      <c r="K218" s="24">
        <v>2459.0121336538332</v>
      </c>
      <c r="L218" s="24">
        <v>0</v>
      </c>
    </row>
    <row r="219" spans="1:12">
      <c r="A219" s="10" t="str">
        <f t="shared" ca="1" si="9"/>
        <v/>
      </c>
      <c r="B219" s="82" t="s">
        <v>252</v>
      </c>
      <c r="C219" s="10" t="s">
        <v>1068</v>
      </c>
      <c r="D219" s="10" t="s">
        <v>46</v>
      </c>
      <c r="E219" s="83" t="s">
        <v>587</v>
      </c>
      <c r="F219" s="84">
        <v>1</v>
      </c>
      <c r="G219" s="24">
        <f t="shared" si="10"/>
        <v>2459.0121336538332</v>
      </c>
      <c r="H219" s="24">
        <f t="shared" si="11"/>
        <v>0</v>
      </c>
      <c r="I219" s="24">
        <v>2459.0121336538332</v>
      </c>
      <c r="J219" s="24">
        <v>0</v>
      </c>
      <c r="K219" s="24">
        <v>2459.0121336538332</v>
      </c>
      <c r="L219" s="24">
        <v>0</v>
      </c>
    </row>
    <row r="220" spans="1:12">
      <c r="A220" s="10" t="str">
        <f t="shared" ca="1" si="9"/>
        <v/>
      </c>
      <c r="B220" s="82" t="s">
        <v>252</v>
      </c>
      <c r="C220" s="10" t="s">
        <v>1069</v>
      </c>
      <c r="D220" s="10" t="s">
        <v>46</v>
      </c>
      <c r="E220" s="83" t="s">
        <v>775</v>
      </c>
      <c r="F220" s="84">
        <v>1</v>
      </c>
      <c r="G220" s="24">
        <f t="shared" si="10"/>
        <v>2459.0121336538332</v>
      </c>
      <c r="H220" s="24">
        <f t="shared" si="11"/>
        <v>0</v>
      </c>
      <c r="I220" s="24">
        <v>2459.0121336538332</v>
      </c>
      <c r="J220" s="24">
        <v>0</v>
      </c>
      <c r="K220" s="24">
        <v>2459.0121336538332</v>
      </c>
      <c r="L220" s="24">
        <v>0</v>
      </c>
    </row>
    <row r="221" spans="1:12">
      <c r="A221" s="10" t="str">
        <f t="shared" ca="1" si="9"/>
        <v/>
      </c>
      <c r="B221" s="82" t="s">
        <v>252</v>
      </c>
      <c r="C221" s="10" t="s">
        <v>1070</v>
      </c>
      <c r="D221" s="10" t="s">
        <v>46</v>
      </c>
      <c r="E221" s="83" t="s">
        <v>588</v>
      </c>
      <c r="F221" s="84">
        <v>1</v>
      </c>
      <c r="G221" s="24">
        <f t="shared" si="10"/>
        <v>2459.0121336538332</v>
      </c>
      <c r="H221" s="24">
        <f t="shared" si="11"/>
        <v>0</v>
      </c>
      <c r="I221" s="24">
        <v>2459.0121336538332</v>
      </c>
      <c r="J221" s="24">
        <v>0</v>
      </c>
      <c r="K221" s="24">
        <v>2459.0121336538332</v>
      </c>
      <c r="L221" s="24">
        <v>0</v>
      </c>
    </row>
    <row r="222" spans="1:12">
      <c r="A222" s="10" t="str">
        <f t="shared" ca="1" si="9"/>
        <v/>
      </c>
      <c r="B222" s="82" t="s">
        <v>252</v>
      </c>
      <c r="C222" s="10" t="s">
        <v>1071</v>
      </c>
      <c r="D222" s="10" t="s">
        <v>46</v>
      </c>
      <c r="E222" s="83" t="s">
        <v>781</v>
      </c>
      <c r="F222" s="84">
        <v>1</v>
      </c>
      <c r="G222" s="24">
        <f t="shared" si="10"/>
        <v>1229.5060668269166</v>
      </c>
      <c r="H222" s="24">
        <f t="shared" si="11"/>
        <v>0</v>
      </c>
      <c r="I222" s="24">
        <v>1229.5060668269166</v>
      </c>
      <c r="J222" s="24">
        <v>0</v>
      </c>
      <c r="K222" s="24">
        <v>1229.5060668269166</v>
      </c>
      <c r="L222" s="24">
        <v>0</v>
      </c>
    </row>
    <row r="223" spans="1:12">
      <c r="A223" s="10" t="str">
        <f t="shared" ca="1" si="9"/>
        <v/>
      </c>
      <c r="B223" s="82" t="s">
        <v>252</v>
      </c>
      <c r="C223" s="10" t="s">
        <v>1072</v>
      </c>
      <c r="D223" s="10" t="s">
        <v>46</v>
      </c>
      <c r="E223" s="83" t="s">
        <v>782</v>
      </c>
      <c r="F223" s="84">
        <v>1</v>
      </c>
      <c r="G223" s="24">
        <f t="shared" si="10"/>
        <v>1229.5060668269166</v>
      </c>
      <c r="H223" s="24">
        <f t="shared" si="11"/>
        <v>0</v>
      </c>
      <c r="I223" s="24">
        <v>1229.5060668269166</v>
      </c>
      <c r="J223" s="24">
        <v>0</v>
      </c>
      <c r="K223" s="24">
        <v>1229.5060668269166</v>
      </c>
      <c r="L223" s="24">
        <v>0</v>
      </c>
    </row>
    <row r="224" spans="1:12">
      <c r="A224" s="10" t="str">
        <f t="shared" ca="1" si="9"/>
        <v/>
      </c>
      <c r="B224" s="82" t="s">
        <v>252</v>
      </c>
      <c r="C224" s="10" t="s">
        <v>1073</v>
      </c>
      <c r="D224" s="10" t="s">
        <v>46</v>
      </c>
      <c r="E224" s="83" t="s">
        <v>783</v>
      </c>
      <c r="F224" s="84">
        <v>4</v>
      </c>
      <c r="G224" s="24">
        <f t="shared" si="10"/>
        <v>12295.060668269165</v>
      </c>
      <c r="H224" s="24">
        <f t="shared" si="11"/>
        <v>0</v>
      </c>
      <c r="I224" s="24">
        <v>12295.060668269165</v>
      </c>
      <c r="J224" s="24">
        <v>0</v>
      </c>
      <c r="K224" s="24">
        <v>12295.060668269165</v>
      </c>
      <c r="L224" s="24">
        <v>0</v>
      </c>
    </row>
    <row r="225" spans="1:12">
      <c r="A225" s="10" t="str">
        <f t="shared" ca="1" si="9"/>
        <v/>
      </c>
      <c r="B225" s="82" t="s">
        <v>252</v>
      </c>
      <c r="C225" s="10" t="s">
        <v>1074</v>
      </c>
      <c r="D225" s="10" t="s">
        <v>46</v>
      </c>
      <c r="E225" s="83" t="s">
        <v>589</v>
      </c>
      <c r="F225" s="84">
        <v>1</v>
      </c>
      <c r="G225" s="24">
        <f t="shared" si="10"/>
        <v>12295.060668269165</v>
      </c>
      <c r="H225" s="24">
        <f t="shared" si="11"/>
        <v>0</v>
      </c>
      <c r="I225" s="24">
        <v>12295.060668269165</v>
      </c>
      <c r="J225" s="24">
        <v>0</v>
      </c>
      <c r="K225" s="24">
        <v>12295.060668269165</v>
      </c>
      <c r="L225" s="24">
        <v>0</v>
      </c>
    </row>
    <row r="226" spans="1:12">
      <c r="A226" s="10" t="str">
        <f t="shared" ca="1" si="9"/>
        <v/>
      </c>
      <c r="B226" s="82" t="s">
        <v>252</v>
      </c>
      <c r="C226" s="10" t="s">
        <v>1075</v>
      </c>
      <c r="D226" s="10" t="s">
        <v>46</v>
      </c>
      <c r="E226" s="83" t="s">
        <v>555</v>
      </c>
      <c r="F226" s="84">
        <v>1</v>
      </c>
      <c r="G226" s="24">
        <f t="shared" si="10"/>
        <v>1229.5060668269166</v>
      </c>
      <c r="H226" s="24">
        <f t="shared" si="11"/>
        <v>0</v>
      </c>
      <c r="I226" s="24">
        <v>1229.5060668269166</v>
      </c>
      <c r="J226" s="24">
        <v>0</v>
      </c>
      <c r="K226" s="24">
        <v>1229.5060668269166</v>
      </c>
      <c r="L226" s="24">
        <v>0</v>
      </c>
    </row>
    <row r="227" spans="1:12">
      <c r="A227" s="10" t="str">
        <f t="shared" ca="1" si="9"/>
        <v/>
      </c>
      <c r="B227" s="82" t="s">
        <v>252</v>
      </c>
      <c r="C227" s="10" t="s">
        <v>1076</v>
      </c>
      <c r="D227" s="10" t="s">
        <v>46</v>
      </c>
      <c r="E227" s="83" t="s">
        <v>590</v>
      </c>
      <c r="F227" s="84">
        <v>1</v>
      </c>
      <c r="G227" s="24">
        <f t="shared" si="10"/>
        <v>1229.5060668269166</v>
      </c>
      <c r="H227" s="24">
        <f t="shared" si="11"/>
        <v>0</v>
      </c>
      <c r="I227" s="24">
        <v>1229.5060668269166</v>
      </c>
      <c r="J227" s="24">
        <v>0</v>
      </c>
      <c r="K227" s="24">
        <v>1229.5060668269166</v>
      </c>
      <c r="L227" s="24">
        <v>0</v>
      </c>
    </row>
    <row r="228" spans="1:12">
      <c r="A228" s="10" t="str">
        <f t="shared" ca="1" si="9"/>
        <v/>
      </c>
      <c r="B228" s="82" t="s">
        <v>252</v>
      </c>
      <c r="C228" s="10" t="s">
        <v>1077</v>
      </c>
      <c r="D228" s="10" t="s">
        <v>46</v>
      </c>
      <c r="E228" s="83" t="s">
        <v>556</v>
      </c>
      <c r="F228" s="84">
        <v>1</v>
      </c>
      <c r="G228" s="24">
        <f t="shared" si="10"/>
        <v>1229.5060668269166</v>
      </c>
      <c r="H228" s="24">
        <f t="shared" si="11"/>
        <v>0</v>
      </c>
      <c r="I228" s="24">
        <v>1229.5060668269166</v>
      </c>
      <c r="J228" s="24">
        <v>0</v>
      </c>
      <c r="K228" s="24">
        <v>1229.5060668269166</v>
      </c>
      <c r="L228" s="24">
        <v>0</v>
      </c>
    </row>
    <row r="229" spans="1:12">
      <c r="A229" s="10" t="str">
        <f t="shared" ca="1" si="9"/>
        <v/>
      </c>
      <c r="B229" s="82" t="s">
        <v>252</v>
      </c>
      <c r="C229" s="10" t="s">
        <v>1078</v>
      </c>
      <c r="D229" s="10" t="s">
        <v>46</v>
      </c>
      <c r="E229" s="83" t="s">
        <v>573</v>
      </c>
      <c r="F229" s="84">
        <v>1</v>
      </c>
      <c r="G229" s="24">
        <f t="shared" si="10"/>
        <v>1229.5060668269166</v>
      </c>
      <c r="H229" s="24">
        <f t="shared" si="11"/>
        <v>0</v>
      </c>
      <c r="I229" s="24">
        <v>1229.5060668269166</v>
      </c>
      <c r="J229" s="24">
        <v>0</v>
      </c>
      <c r="K229" s="24">
        <v>1229.5060668269166</v>
      </c>
      <c r="L229" s="24">
        <v>0</v>
      </c>
    </row>
    <row r="230" spans="1:12">
      <c r="A230" s="10" t="str">
        <f t="shared" ca="1" si="9"/>
        <v/>
      </c>
      <c r="B230" s="82" t="s">
        <v>252</v>
      </c>
      <c r="C230" s="10" t="s">
        <v>1079</v>
      </c>
      <c r="D230" s="10" t="s">
        <v>46</v>
      </c>
      <c r="E230" s="83" t="s">
        <v>574</v>
      </c>
      <c r="F230" s="84">
        <v>1</v>
      </c>
      <c r="G230" s="24">
        <f t="shared" si="10"/>
        <v>737.70364009614991</v>
      </c>
      <c r="H230" s="24">
        <f t="shared" si="11"/>
        <v>0</v>
      </c>
      <c r="I230" s="24">
        <v>737.70364009614991</v>
      </c>
      <c r="J230" s="24">
        <v>0</v>
      </c>
      <c r="K230" s="24">
        <v>737.70364009614991</v>
      </c>
      <c r="L230" s="24">
        <v>0</v>
      </c>
    </row>
    <row r="231" spans="1:12">
      <c r="A231" s="10" t="str">
        <f t="shared" ca="1" si="9"/>
        <v/>
      </c>
      <c r="B231" s="82" t="s">
        <v>252</v>
      </c>
      <c r="C231" s="10" t="s">
        <v>1080</v>
      </c>
      <c r="D231" s="10" t="s">
        <v>46</v>
      </c>
      <c r="E231" s="83" t="s">
        <v>591</v>
      </c>
      <c r="F231" s="84">
        <v>1</v>
      </c>
      <c r="G231" s="24">
        <f t="shared" si="10"/>
        <v>737.70364009614991</v>
      </c>
      <c r="H231" s="24">
        <f t="shared" si="11"/>
        <v>0</v>
      </c>
      <c r="I231" s="24">
        <v>737.70364009614991</v>
      </c>
      <c r="J231" s="24">
        <v>0</v>
      </c>
      <c r="K231" s="24">
        <v>737.70364009614991</v>
      </c>
      <c r="L231" s="24">
        <v>0</v>
      </c>
    </row>
    <row r="232" spans="1:12">
      <c r="A232" s="10" t="str">
        <f t="shared" ca="1" si="9"/>
        <v/>
      </c>
      <c r="B232" s="82" t="s">
        <v>252</v>
      </c>
      <c r="C232" s="10" t="s">
        <v>1081</v>
      </c>
      <c r="D232" s="10" t="s">
        <v>46</v>
      </c>
      <c r="E232" s="83" t="s">
        <v>592</v>
      </c>
      <c r="F232" s="84">
        <v>1</v>
      </c>
      <c r="G232" s="24">
        <f t="shared" si="10"/>
        <v>737.70364009614991</v>
      </c>
      <c r="H232" s="24">
        <f t="shared" si="11"/>
        <v>0</v>
      </c>
      <c r="I232" s="24">
        <v>737.70364009614991</v>
      </c>
      <c r="J232" s="24">
        <v>0</v>
      </c>
      <c r="K232" s="24">
        <v>737.70364009614991</v>
      </c>
      <c r="L232" s="24">
        <v>0</v>
      </c>
    </row>
    <row r="233" spans="1:12">
      <c r="A233" s="10" t="str">
        <f t="shared" ca="1" si="9"/>
        <v/>
      </c>
      <c r="B233" s="82" t="s">
        <v>252</v>
      </c>
      <c r="C233" s="10" t="s">
        <v>1082</v>
      </c>
      <c r="D233" s="10" t="s">
        <v>46</v>
      </c>
      <c r="E233" s="83" t="s">
        <v>524</v>
      </c>
      <c r="F233" s="84">
        <v>2</v>
      </c>
      <c r="G233" s="24">
        <f t="shared" si="10"/>
        <v>737.70364009614991</v>
      </c>
      <c r="H233" s="24">
        <f t="shared" si="11"/>
        <v>0</v>
      </c>
      <c r="I233" s="24">
        <v>737.70364009614991</v>
      </c>
      <c r="J233" s="24">
        <v>0</v>
      </c>
      <c r="K233" s="24">
        <v>737.70364009614991</v>
      </c>
      <c r="L233" s="24">
        <v>0</v>
      </c>
    </row>
    <row r="234" spans="1:12">
      <c r="A234" s="10">
        <f t="shared" ca="1" si="9"/>
        <v>239</v>
      </c>
      <c r="B234" s="82" t="s">
        <v>258</v>
      </c>
      <c r="C234" s="10" t="s">
        <v>1083</v>
      </c>
      <c r="D234" s="10" t="s">
        <v>46</v>
      </c>
      <c r="E234" s="83" t="s">
        <v>550</v>
      </c>
      <c r="F234" s="84">
        <v>1</v>
      </c>
      <c r="G234" s="24">
        <f t="shared" si="10"/>
        <v>6523.0968602627345</v>
      </c>
      <c r="H234" s="24">
        <f t="shared" si="11"/>
        <v>0</v>
      </c>
      <c r="I234" s="24">
        <v>6523.0968602627345</v>
      </c>
      <c r="J234" s="24">
        <v>0</v>
      </c>
      <c r="K234" s="24">
        <v>6523.0968602627345</v>
      </c>
      <c r="L234" s="24">
        <v>0</v>
      </c>
    </row>
    <row r="235" spans="1:12">
      <c r="A235" s="10" t="str">
        <f t="shared" ca="1" si="9"/>
        <v/>
      </c>
      <c r="B235" s="82" t="s">
        <v>258</v>
      </c>
      <c r="C235" s="10" t="s">
        <v>1084</v>
      </c>
      <c r="D235" s="10" t="s">
        <v>46</v>
      </c>
      <c r="E235" s="83" t="s">
        <v>552</v>
      </c>
      <c r="F235" s="84">
        <v>1</v>
      </c>
      <c r="G235" s="24">
        <f t="shared" si="10"/>
        <v>1087.182810043789</v>
      </c>
      <c r="H235" s="24">
        <f t="shared" si="11"/>
        <v>0</v>
      </c>
      <c r="I235" s="24">
        <v>1087.182810043789</v>
      </c>
      <c r="J235" s="24">
        <v>0</v>
      </c>
      <c r="K235" s="24">
        <v>1087.182810043789</v>
      </c>
      <c r="L235" s="24">
        <v>0</v>
      </c>
    </row>
    <row r="236" spans="1:12">
      <c r="A236" s="10" t="str">
        <f t="shared" ca="1" si="9"/>
        <v/>
      </c>
      <c r="B236" s="82" t="s">
        <v>258</v>
      </c>
      <c r="C236" s="10" t="s">
        <v>1085</v>
      </c>
      <c r="D236" s="10" t="s">
        <v>46</v>
      </c>
      <c r="E236" s="83" t="s">
        <v>775</v>
      </c>
      <c r="F236" s="84">
        <v>1</v>
      </c>
      <c r="G236" s="24">
        <f t="shared" si="10"/>
        <v>1087.182810043789</v>
      </c>
      <c r="H236" s="24">
        <f t="shared" si="11"/>
        <v>0</v>
      </c>
      <c r="I236" s="24">
        <v>1087.182810043789</v>
      </c>
      <c r="J236" s="24">
        <v>0</v>
      </c>
      <c r="K236" s="24">
        <v>1087.182810043789</v>
      </c>
      <c r="L236" s="24">
        <v>0</v>
      </c>
    </row>
    <row r="237" spans="1:12">
      <c r="A237" s="10" t="str">
        <f t="shared" ca="1" si="9"/>
        <v/>
      </c>
      <c r="B237" s="82" t="s">
        <v>258</v>
      </c>
      <c r="C237" s="10" t="s">
        <v>1086</v>
      </c>
      <c r="D237" s="10" t="s">
        <v>46</v>
      </c>
      <c r="E237" s="83" t="s">
        <v>593</v>
      </c>
      <c r="F237" s="84">
        <v>1</v>
      </c>
      <c r="G237" s="24">
        <f t="shared" si="10"/>
        <v>724.78854002919263</v>
      </c>
      <c r="H237" s="24">
        <f t="shared" si="11"/>
        <v>0</v>
      </c>
      <c r="I237" s="24">
        <v>724.78854002919263</v>
      </c>
      <c r="J237" s="24">
        <v>0</v>
      </c>
      <c r="K237" s="24">
        <v>724.78854002919263</v>
      </c>
      <c r="L237" s="24">
        <v>0</v>
      </c>
    </row>
    <row r="238" spans="1:12">
      <c r="A238" s="10" t="str">
        <f t="shared" ca="1" si="9"/>
        <v/>
      </c>
      <c r="B238" s="82" t="s">
        <v>258</v>
      </c>
      <c r="C238" s="10" t="s">
        <v>1087</v>
      </c>
      <c r="D238" s="10" t="s">
        <v>46</v>
      </c>
      <c r="E238" s="83" t="s">
        <v>555</v>
      </c>
      <c r="F238" s="84">
        <v>1</v>
      </c>
      <c r="G238" s="24">
        <f t="shared" si="10"/>
        <v>724.78854002919263</v>
      </c>
      <c r="H238" s="24">
        <f t="shared" si="11"/>
        <v>0</v>
      </c>
      <c r="I238" s="24">
        <v>724.78854002919263</v>
      </c>
      <c r="J238" s="24">
        <v>0</v>
      </c>
      <c r="K238" s="24">
        <v>724.78854002919263</v>
      </c>
      <c r="L238" s="24">
        <v>0</v>
      </c>
    </row>
    <row r="239" spans="1:12">
      <c r="A239" s="10" t="str">
        <f t="shared" ca="1" si="9"/>
        <v/>
      </c>
      <c r="B239" s="82" t="s">
        <v>258</v>
      </c>
      <c r="C239" s="10" t="s">
        <v>1088</v>
      </c>
      <c r="D239" s="10" t="s">
        <v>46</v>
      </c>
      <c r="E239" s="83" t="s">
        <v>574</v>
      </c>
      <c r="F239" s="84">
        <v>1</v>
      </c>
      <c r="G239" s="24">
        <f t="shared" si="10"/>
        <v>724.78854002919263</v>
      </c>
      <c r="H239" s="24">
        <f t="shared" si="11"/>
        <v>0</v>
      </c>
      <c r="I239" s="24">
        <v>724.78854002919263</v>
      </c>
      <c r="J239" s="24">
        <v>0</v>
      </c>
      <c r="K239" s="24">
        <v>724.78854002919263</v>
      </c>
      <c r="L239" s="24">
        <v>0</v>
      </c>
    </row>
    <row r="240" spans="1:12">
      <c r="A240" s="10">
        <f t="shared" ca="1" si="9"/>
        <v>240</v>
      </c>
      <c r="B240" s="82" t="s">
        <v>261</v>
      </c>
      <c r="C240" s="10" t="s">
        <v>1089</v>
      </c>
      <c r="D240" s="10" t="s">
        <v>46</v>
      </c>
      <c r="E240" s="83" t="s">
        <v>550</v>
      </c>
      <c r="F240" s="84">
        <v>1</v>
      </c>
      <c r="G240" s="24">
        <f t="shared" si="10"/>
        <v>245.61868499539821</v>
      </c>
      <c r="H240" s="24">
        <f t="shared" si="11"/>
        <v>0</v>
      </c>
      <c r="I240" s="24">
        <v>245.61868499539821</v>
      </c>
      <c r="J240" s="24">
        <v>0</v>
      </c>
      <c r="K240" s="24">
        <v>245.61868499539821</v>
      </c>
      <c r="L240" s="24">
        <v>0</v>
      </c>
    </row>
    <row r="241" spans="1:12">
      <c r="A241" s="10">
        <f t="shared" ca="1" si="9"/>
        <v>243</v>
      </c>
      <c r="B241" s="82" t="s">
        <v>264</v>
      </c>
      <c r="C241" s="10" t="s">
        <v>1090</v>
      </c>
      <c r="D241" s="10" t="s">
        <v>46</v>
      </c>
      <c r="E241" s="83" t="s">
        <v>550</v>
      </c>
      <c r="F241" s="84">
        <v>1</v>
      </c>
      <c r="G241" s="24">
        <f t="shared" si="10"/>
        <v>1241.0607574870014</v>
      </c>
      <c r="H241" s="24">
        <f t="shared" si="11"/>
        <v>0</v>
      </c>
      <c r="I241" s="24">
        <v>1241.0607574870014</v>
      </c>
      <c r="J241" s="24">
        <v>0</v>
      </c>
      <c r="K241" s="24">
        <v>1241.0607574870014</v>
      </c>
      <c r="L241" s="24">
        <v>0</v>
      </c>
    </row>
    <row r="242" spans="1:12">
      <c r="A242" s="10" t="str">
        <f t="shared" ca="1" si="9"/>
        <v/>
      </c>
      <c r="B242" s="82" t="s">
        <v>264</v>
      </c>
      <c r="C242" s="10" t="s">
        <v>1091</v>
      </c>
      <c r="D242" s="10" t="s">
        <v>46</v>
      </c>
      <c r="E242" s="83" t="s">
        <v>555</v>
      </c>
      <c r="F242" s="84">
        <v>1</v>
      </c>
      <c r="G242" s="24">
        <f t="shared" si="10"/>
        <v>137.89563972077795</v>
      </c>
      <c r="H242" s="24">
        <f t="shared" si="11"/>
        <v>0</v>
      </c>
      <c r="I242" s="24">
        <v>137.89563972077795</v>
      </c>
      <c r="J242" s="24">
        <v>0</v>
      </c>
      <c r="K242" s="24">
        <v>137.89563972077795</v>
      </c>
      <c r="L242" s="24">
        <v>0</v>
      </c>
    </row>
    <row r="243" spans="1:12">
      <c r="A243" s="10" t="str">
        <f t="shared" ca="1" si="9"/>
        <v/>
      </c>
      <c r="B243" s="82" t="s">
        <v>264</v>
      </c>
      <c r="C243" s="10" t="s">
        <v>1092</v>
      </c>
      <c r="D243" s="10" t="s">
        <v>46</v>
      </c>
      <c r="E243" s="83" t="s">
        <v>573</v>
      </c>
      <c r="F243" s="84">
        <v>1</v>
      </c>
      <c r="G243" s="24">
        <f t="shared" si="10"/>
        <v>137.89563972077795</v>
      </c>
      <c r="H243" s="24">
        <f t="shared" si="11"/>
        <v>0</v>
      </c>
      <c r="I243" s="24">
        <v>137.89563972077795</v>
      </c>
      <c r="J243" s="24">
        <v>0</v>
      </c>
      <c r="K243" s="24">
        <v>137.89563972077795</v>
      </c>
      <c r="L243" s="24">
        <v>0</v>
      </c>
    </row>
    <row r="244" spans="1:12">
      <c r="A244" s="10">
        <f t="shared" ca="1" si="9"/>
        <v>246</v>
      </c>
      <c r="B244" s="82" t="s">
        <v>244</v>
      </c>
      <c r="C244" s="10" t="s">
        <v>1093</v>
      </c>
      <c r="D244" s="10" t="s">
        <v>46</v>
      </c>
      <c r="E244" s="83" t="s">
        <v>594</v>
      </c>
      <c r="F244" s="84">
        <v>1</v>
      </c>
      <c r="G244" s="24">
        <f t="shared" si="10"/>
        <v>122.63424647992477</v>
      </c>
      <c r="H244" s="24">
        <f t="shared" si="11"/>
        <v>0</v>
      </c>
      <c r="I244" s="24">
        <v>122.63424647992477</v>
      </c>
      <c r="J244" s="24">
        <v>0</v>
      </c>
      <c r="K244" s="24">
        <v>122.63424647992477</v>
      </c>
      <c r="L244" s="24">
        <v>0</v>
      </c>
    </row>
    <row r="245" spans="1:12">
      <c r="A245" s="10" t="str">
        <f t="shared" ca="1" si="9"/>
        <v/>
      </c>
      <c r="B245" s="82" t="s">
        <v>244</v>
      </c>
      <c r="C245" s="10" t="s">
        <v>1094</v>
      </c>
      <c r="D245" s="10" t="s">
        <v>46</v>
      </c>
      <c r="E245" s="83" t="s">
        <v>574</v>
      </c>
      <c r="F245" s="84">
        <v>1</v>
      </c>
      <c r="G245" s="24">
        <f t="shared" si="10"/>
        <v>122.63424647992477</v>
      </c>
      <c r="H245" s="24">
        <f t="shared" si="11"/>
        <v>0</v>
      </c>
      <c r="I245" s="24">
        <v>122.63424647992477</v>
      </c>
      <c r="J245" s="24">
        <v>0</v>
      </c>
      <c r="K245" s="24">
        <v>122.63424647992477</v>
      </c>
      <c r="L245" s="24">
        <v>0</v>
      </c>
    </row>
    <row r="246" spans="1:12">
      <c r="A246" s="10" t="str">
        <f t="shared" ca="1" si="9"/>
        <v/>
      </c>
      <c r="B246" s="82" t="s">
        <v>244</v>
      </c>
      <c r="C246" s="10" t="s">
        <v>1095</v>
      </c>
      <c r="D246" s="10" t="s">
        <v>46</v>
      </c>
      <c r="E246" s="83" t="s">
        <v>784</v>
      </c>
      <c r="F246" s="84">
        <v>1</v>
      </c>
      <c r="G246" s="24">
        <f t="shared" si="10"/>
        <v>122.63424647992477</v>
      </c>
      <c r="H246" s="24">
        <f t="shared" si="11"/>
        <v>0</v>
      </c>
      <c r="I246" s="24">
        <v>122.63424647992477</v>
      </c>
      <c r="J246" s="24">
        <v>0</v>
      </c>
      <c r="K246" s="24">
        <v>122.63424647992477</v>
      </c>
      <c r="L246" s="24">
        <v>0</v>
      </c>
    </row>
    <row r="247" spans="1:12">
      <c r="A247" s="10">
        <f t="shared" ca="1" si="9"/>
        <v>250</v>
      </c>
      <c r="B247" s="82" t="s">
        <v>266</v>
      </c>
      <c r="C247" s="10" t="s">
        <v>1096</v>
      </c>
      <c r="D247" s="10" t="s">
        <v>46</v>
      </c>
      <c r="E247" s="83" t="s">
        <v>550</v>
      </c>
      <c r="F247" s="84">
        <v>1</v>
      </c>
      <c r="G247" s="24">
        <f t="shared" si="10"/>
        <v>871.50227194441459</v>
      </c>
      <c r="H247" s="24">
        <f t="shared" si="11"/>
        <v>0</v>
      </c>
      <c r="I247" s="24">
        <v>871.50227194441459</v>
      </c>
      <c r="J247" s="24">
        <v>0</v>
      </c>
      <c r="K247" s="24">
        <v>871.50227194441459</v>
      </c>
      <c r="L247" s="24">
        <v>0</v>
      </c>
    </row>
    <row r="248" spans="1:12">
      <c r="A248" s="10" t="str">
        <f t="shared" ca="1" si="9"/>
        <v/>
      </c>
      <c r="B248" s="82" t="s">
        <v>266</v>
      </c>
      <c r="C248" s="10" t="s">
        <v>1097</v>
      </c>
      <c r="D248" s="10" t="s">
        <v>46</v>
      </c>
      <c r="E248" s="83" t="s">
        <v>552</v>
      </c>
      <c r="F248" s="84">
        <v>1</v>
      </c>
      <c r="G248" s="24">
        <f t="shared" si="10"/>
        <v>145.25037865740239</v>
      </c>
      <c r="H248" s="24">
        <f t="shared" si="11"/>
        <v>0</v>
      </c>
      <c r="I248" s="24">
        <v>145.25037865740239</v>
      </c>
      <c r="J248" s="24">
        <v>0</v>
      </c>
      <c r="K248" s="24">
        <v>145.25037865740239</v>
      </c>
      <c r="L248" s="24">
        <v>0</v>
      </c>
    </row>
    <row r="249" spans="1:12">
      <c r="A249" s="10" t="str">
        <f t="shared" ca="1" si="9"/>
        <v/>
      </c>
      <c r="B249" s="82" t="s">
        <v>266</v>
      </c>
      <c r="C249" s="10" t="s">
        <v>1098</v>
      </c>
      <c r="D249" s="10" t="s">
        <v>46</v>
      </c>
      <c r="E249" s="83" t="s">
        <v>555</v>
      </c>
      <c r="F249" s="84">
        <v>1</v>
      </c>
      <c r="G249" s="24">
        <f t="shared" si="10"/>
        <v>96.833585771601619</v>
      </c>
      <c r="H249" s="24">
        <f t="shared" si="11"/>
        <v>0</v>
      </c>
      <c r="I249" s="24">
        <v>96.833585771601619</v>
      </c>
      <c r="J249" s="24">
        <v>0</v>
      </c>
      <c r="K249" s="24">
        <v>96.833585771601619</v>
      </c>
      <c r="L249" s="24">
        <v>0</v>
      </c>
    </row>
    <row r="250" spans="1:12">
      <c r="A250" s="10" t="str">
        <f t="shared" ca="1" si="9"/>
        <v/>
      </c>
      <c r="B250" s="82" t="s">
        <v>266</v>
      </c>
      <c r="C250" s="10" t="s">
        <v>1099</v>
      </c>
      <c r="D250" s="10" t="s">
        <v>46</v>
      </c>
      <c r="E250" s="83" t="s">
        <v>573</v>
      </c>
      <c r="F250" s="84">
        <v>1</v>
      </c>
      <c r="G250" s="24">
        <f t="shared" si="10"/>
        <v>96.833585771601619</v>
      </c>
      <c r="H250" s="24">
        <f t="shared" si="11"/>
        <v>0</v>
      </c>
      <c r="I250" s="24">
        <v>96.833585771601619</v>
      </c>
      <c r="J250" s="24">
        <v>0</v>
      </c>
      <c r="K250" s="24">
        <v>96.833585771601619</v>
      </c>
      <c r="L250" s="24">
        <v>0</v>
      </c>
    </row>
    <row r="251" spans="1:12">
      <c r="A251" s="10">
        <f t="shared" ca="1" si="9"/>
        <v>252</v>
      </c>
      <c r="B251" s="82" t="s">
        <v>473</v>
      </c>
      <c r="C251" s="10" t="s">
        <v>1100</v>
      </c>
      <c r="D251" s="10" t="s">
        <v>46</v>
      </c>
      <c r="E251" s="83" t="s">
        <v>550</v>
      </c>
      <c r="F251" s="84">
        <v>1</v>
      </c>
      <c r="G251" s="24">
        <f t="shared" si="10"/>
        <v>606.60153101353274</v>
      </c>
      <c r="H251" s="24">
        <f t="shared" si="11"/>
        <v>0</v>
      </c>
      <c r="I251" s="24">
        <v>606.60153101353274</v>
      </c>
      <c r="J251" s="24">
        <v>0</v>
      </c>
      <c r="K251" s="24">
        <v>606.60153101353274</v>
      </c>
      <c r="L251" s="24">
        <v>0</v>
      </c>
    </row>
    <row r="252" spans="1:12">
      <c r="A252" s="10" t="str">
        <f t="shared" ca="1" si="9"/>
        <v/>
      </c>
      <c r="B252" s="82" t="s">
        <v>473</v>
      </c>
      <c r="C252" s="10" t="s">
        <v>1101</v>
      </c>
      <c r="D252" s="10" t="s">
        <v>46</v>
      </c>
      <c r="E252" s="83" t="s">
        <v>573</v>
      </c>
      <c r="F252" s="84">
        <v>1</v>
      </c>
      <c r="G252" s="24">
        <f t="shared" si="10"/>
        <v>67.400170112614745</v>
      </c>
      <c r="H252" s="24">
        <f t="shared" si="11"/>
        <v>0</v>
      </c>
      <c r="I252" s="24">
        <v>67.400170112614745</v>
      </c>
      <c r="J252" s="24">
        <v>0</v>
      </c>
      <c r="K252" s="24">
        <v>67.400170112614745</v>
      </c>
      <c r="L252" s="24">
        <v>0</v>
      </c>
    </row>
    <row r="253" spans="1:12">
      <c r="A253" s="10">
        <f t="shared" ca="1" si="9"/>
        <v>255</v>
      </c>
      <c r="B253" s="82" t="s">
        <v>474</v>
      </c>
      <c r="C253" s="10" t="s">
        <v>1102</v>
      </c>
      <c r="D253" s="10" t="s">
        <v>46</v>
      </c>
      <c r="E253" s="83" t="s">
        <v>574</v>
      </c>
      <c r="F253" s="84">
        <v>1</v>
      </c>
      <c r="G253" s="24">
        <f t="shared" si="10"/>
        <v>15</v>
      </c>
      <c r="H253" s="24">
        <f t="shared" si="11"/>
        <v>0</v>
      </c>
      <c r="I253" s="24">
        <v>15</v>
      </c>
      <c r="J253" s="24">
        <v>0</v>
      </c>
      <c r="K253" s="24">
        <v>15</v>
      </c>
      <c r="L253" s="24">
        <v>0</v>
      </c>
    </row>
    <row r="254" spans="1:12">
      <c r="A254" s="10" t="str">
        <f t="shared" ca="1" si="9"/>
        <v/>
      </c>
      <c r="B254" s="82" t="s">
        <v>474</v>
      </c>
      <c r="C254" s="10" t="s">
        <v>1103</v>
      </c>
      <c r="D254" s="10" t="s">
        <v>46</v>
      </c>
      <c r="E254" s="83" t="s">
        <v>567</v>
      </c>
      <c r="F254" s="84">
        <v>1</v>
      </c>
      <c r="G254" s="24">
        <f t="shared" si="10"/>
        <v>15</v>
      </c>
      <c r="H254" s="24">
        <f t="shared" si="11"/>
        <v>0</v>
      </c>
      <c r="I254" s="24">
        <v>15</v>
      </c>
      <c r="J254" s="24">
        <v>0</v>
      </c>
      <c r="K254" s="24">
        <v>15</v>
      </c>
      <c r="L254" s="24">
        <v>0</v>
      </c>
    </row>
    <row r="255" spans="1:12">
      <c r="A255" s="10" t="str">
        <f t="shared" ca="1" si="9"/>
        <v/>
      </c>
      <c r="B255" s="82" t="s">
        <v>474</v>
      </c>
      <c r="C255" s="10" t="s">
        <v>1104</v>
      </c>
      <c r="D255" s="10" t="s">
        <v>46</v>
      </c>
      <c r="E255" s="83" t="s">
        <v>595</v>
      </c>
      <c r="F255" s="84">
        <v>4</v>
      </c>
      <c r="G255" s="24">
        <f t="shared" si="10"/>
        <v>15</v>
      </c>
      <c r="H255" s="24">
        <f t="shared" si="11"/>
        <v>0</v>
      </c>
      <c r="I255" s="24">
        <v>15</v>
      </c>
      <c r="J255" s="24">
        <v>0</v>
      </c>
      <c r="K255" s="24">
        <v>15</v>
      </c>
      <c r="L255" s="24">
        <v>0</v>
      </c>
    </row>
    <row r="256" spans="1:12">
      <c r="A256" s="10">
        <f t="shared" ca="1" si="9"/>
        <v>257</v>
      </c>
      <c r="B256" s="82" t="s">
        <v>475</v>
      </c>
      <c r="C256" s="10" t="s">
        <v>1105</v>
      </c>
      <c r="D256" s="10" t="s">
        <v>46</v>
      </c>
      <c r="E256" s="83" t="s">
        <v>550</v>
      </c>
      <c r="F256" s="84">
        <v>1</v>
      </c>
      <c r="G256" s="24">
        <f t="shared" si="10"/>
        <v>270</v>
      </c>
      <c r="H256" s="24">
        <f t="shared" si="11"/>
        <v>0</v>
      </c>
      <c r="I256" s="24">
        <v>270</v>
      </c>
      <c r="J256" s="24">
        <v>0</v>
      </c>
      <c r="K256" s="24">
        <v>270</v>
      </c>
      <c r="L256" s="24">
        <v>0</v>
      </c>
    </row>
    <row r="257" spans="1:12">
      <c r="A257" s="10" t="str">
        <f t="shared" ca="1" si="9"/>
        <v/>
      </c>
      <c r="B257" s="82" t="s">
        <v>475</v>
      </c>
      <c r="C257" s="10" t="s">
        <v>1106</v>
      </c>
      <c r="D257" s="10" t="s">
        <v>46</v>
      </c>
      <c r="E257" s="83" t="s">
        <v>555</v>
      </c>
      <c r="F257" s="84">
        <v>1</v>
      </c>
      <c r="G257" s="24">
        <f t="shared" si="10"/>
        <v>60</v>
      </c>
      <c r="H257" s="24">
        <f t="shared" si="11"/>
        <v>0</v>
      </c>
      <c r="I257" s="24">
        <v>60</v>
      </c>
      <c r="J257" s="24">
        <v>0</v>
      </c>
      <c r="K257" s="24">
        <v>60</v>
      </c>
      <c r="L257" s="24">
        <v>0</v>
      </c>
    </row>
    <row r="258" spans="1:12">
      <c r="A258" s="10">
        <f t="shared" ref="A258:A321" ca="1" si="12">IF(B257=B258,"",ROW(A258)-1+MATCH(B258,INDIRECT("B"&amp;ROW(A258)&amp;":"&amp;"B"&amp;$A$1),1))</f>
        <v>266</v>
      </c>
      <c r="B258" s="82" t="s">
        <v>275</v>
      </c>
      <c r="C258" s="10" t="s">
        <v>1107</v>
      </c>
      <c r="D258" s="10" t="s">
        <v>46</v>
      </c>
      <c r="E258" s="83" t="s">
        <v>574</v>
      </c>
      <c r="F258" s="84">
        <v>1</v>
      </c>
      <c r="G258" s="24">
        <f t="shared" ref="G258:G321" si="13">IF($N$2=1,I258,K258)</f>
        <v>504.11924508348534</v>
      </c>
      <c r="H258" s="24">
        <f t="shared" ref="H258:H321" si="14">IF($N$2=1,J258,L258)</f>
        <v>0</v>
      </c>
      <c r="I258" s="24">
        <v>504.11924508348534</v>
      </c>
      <c r="J258" s="24">
        <v>0</v>
      </c>
      <c r="K258" s="24">
        <v>504.11924508348534</v>
      </c>
      <c r="L258" s="24">
        <v>0</v>
      </c>
    </row>
    <row r="259" spans="1:12">
      <c r="A259" s="10" t="str">
        <f t="shared" ca="1" si="12"/>
        <v/>
      </c>
      <c r="B259" s="82" t="s">
        <v>275</v>
      </c>
      <c r="C259" s="10" t="s">
        <v>1108</v>
      </c>
      <c r="D259" s="10" t="s">
        <v>46</v>
      </c>
      <c r="E259" s="83" t="s">
        <v>784</v>
      </c>
      <c r="F259" s="84">
        <v>1</v>
      </c>
      <c r="G259" s="24">
        <f t="shared" si="13"/>
        <v>100.82384901669707</v>
      </c>
      <c r="H259" s="24">
        <f t="shared" si="14"/>
        <v>0</v>
      </c>
      <c r="I259" s="24">
        <v>100.82384901669707</v>
      </c>
      <c r="J259" s="24">
        <v>0</v>
      </c>
      <c r="K259" s="24">
        <v>100.82384901669707</v>
      </c>
      <c r="L259" s="24">
        <v>0</v>
      </c>
    </row>
    <row r="260" spans="1:12">
      <c r="A260" s="10" t="str">
        <f t="shared" ca="1" si="12"/>
        <v/>
      </c>
      <c r="B260" s="82" t="s">
        <v>275</v>
      </c>
      <c r="C260" s="10" t="s">
        <v>1109</v>
      </c>
      <c r="D260" s="10" t="s">
        <v>46</v>
      </c>
      <c r="E260" s="83" t="s">
        <v>591</v>
      </c>
      <c r="F260" s="84">
        <v>1</v>
      </c>
      <c r="G260" s="24">
        <f t="shared" si="13"/>
        <v>504.11924508348534</v>
      </c>
      <c r="H260" s="24">
        <f t="shared" si="14"/>
        <v>0</v>
      </c>
      <c r="I260" s="24">
        <v>504.11924508348534</v>
      </c>
      <c r="J260" s="24">
        <v>0</v>
      </c>
      <c r="K260" s="24">
        <v>504.11924508348534</v>
      </c>
      <c r="L260" s="24">
        <v>0</v>
      </c>
    </row>
    <row r="261" spans="1:12">
      <c r="A261" s="10" t="str">
        <f t="shared" ca="1" si="12"/>
        <v/>
      </c>
      <c r="B261" s="82" t="s">
        <v>275</v>
      </c>
      <c r="C261" s="10" t="s">
        <v>1110</v>
      </c>
      <c r="D261" s="10" t="s">
        <v>46</v>
      </c>
      <c r="E261" s="83" t="s">
        <v>575</v>
      </c>
      <c r="F261" s="84">
        <v>1</v>
      </c>
      <c r="G261" s="24">
        <f t="shared" si="13"/>
        <v>504.11924508348534</v>
      </c>
      <c r="H261" s="24">
        <f t="shared" si="14"/>
        <v>0</v>
      </c>
      <c r="I261" s="24">
        <v>504.11924508348534</v>
      </c>
      <c r="J261" s="24">
        <v>0</v>
      </c>
      <c r="K261" s="24">
        <v>504.11924508348534</v>
      </c>
      <c r="L261" s="24">
        <v>0</v>
      </c>
    </row>
    <row r="262" spans="1:12">
      <c r="A262" s="10" t="str">
        <f t="shared" ca="1" si="12"/>
        <v/>
      </c>
      <c r="B262" s="82" t="s">
        <v>275</v>
      </c>
      <c r="C262" s="10" t="s">
        <v>1111</v>
      </c>
      <c r="D262" s="10" t="s">
        <v>46</v>
      </c>
      <c r="E262" s="83" t="s">
        <v>576</v>
      </c>
      <c r="F262" s="84">
        <v>1</v>
      </c>
      <c r="G262" s="24">
        <f t="shared" si="13"/>
        <v>302.47154705009115</v>
      </c>
      <c r="H262" s="24">
        <f t="shared" si="14"/>
        <v>0</v>
      </c>
      <c r="I262" s="24">
        <v>302.47154705009115</v>
      </c>
      <c r="J262" s="24">
        <v>0</v>
      </c>
      <c r="K262" s="24">
        <v>302.47154705009115</v>
      </c>
      <c r="L262" s="24">
        <v>0</v>
      </c>
    </row>
    <row r="263" spans="1:12">
      <c r="A263" s="10" t="str">
        <f t="shared" ca="1" si="12"/>
        <v/>
      </c>
      <c r="B263" s="82" t="s">
        <v>275</v>
      </c>
      <c r="C263" s="10" t="s">
        <v>1112</v>
      </c>
      <c r="D263" s="10" t="s">
        <v>46</v>
      </c>
      <c r="E263" s="83" t="s">
        <v>567</v>
      </c>
      <c r="F263" s="84">
        <v>1</v>
      </c>
      <c r="G263" s="24">
        <f t="shared" si="13"/>
        <v>504.11924508348534</v>
      </c>
      <c r="H263" s="24">
        <f t="shared" si="14"/>
        <v>0</v>
      </c>
      <c r="I263" s="24">
        <v>504.11924508348534</v>
      </c>
      <c r="J263" s="24">
        <v>0</v>
      </c>
      <c r="K263" s="24">
        <v>504.11924508348534</v>
      </c>
      <c r="L263" s="24">
        <v>0</v>
      </c>
    </row>
    <row r="264" spans="1:12">
      <c r="A264" s="10" t="str">
        <f t="shared" ca="1" si="12"/>
        <v/>
      </c>
      <c r="B264" s="82" t="s">
        <v>275</v>
      </c>
      <c r="C264" s="10" t="s">
        <v>1113</v>
      </c>
      <c r="D264" s="10" t="s">
        <v>46</v>
      </c>
      <c r="E264" s="83" t="s">
        <v>596</v>
      </c>
      <c r="F264" s="84">
        <v>1</v>
      </c>
      <c r="G264" s="24">
        <f t="shared" si="13"/>
        <v>100.82384901669707</v>
      </c>
      <c r="H264" s="24">
        <f t="shared" si="14"/>
        <v>0</v>
      </c>
      <c r="I264" s="24">
        <v>100.82384901669707</v>
      </c>
      <c r="J264" s="24">
        <v>0</v>
      </c>
      <c r="K264" s="24">
        <v>100.82384901669707</v>
      </c>
      <c r="L264" s="24">
        <v>0</v>
      </c>
    </row>
    <row r="265" spans="1:12">
      <c r="A265" s="10" t="str">
        <f t="shared" ca="1" si="12"/>
        <v/>
      </c>
      <c r="B265" s="82" t="s">
        <v>275</v>
      </c>
      <c r="C265" s="10" t="s">
        <v>1114</v>
      </c>
      <c r="D265" s="10" t="s">
        <v>46</v>
      </c>
      <c r="E265" s="83" t="s">
        <v>530</v>
      </c>
      <c r="F265" s="84">
        <v>1</v>
      </c>
      <c r="G265" s="24">
        <f t="shared" si="13"/>
        <v>100.82384901669707</v>
      </c>
      <c r="H265" s="24">
        <f t="shared" si="14"/>
        <v>0</v>
      </c>
      <c r="I265" s="24">
        <v>100.82384901669707</v>
      </c>
      <c r="J265" s="24">
        <v>0</v>
      </c>
      <c r="K265" s="24">
        <v>100.82384901669707</v>
      </c>
      <c r="L265" s="24">
        <v>0</v>
      </c>
    </row>
    <row r="266" spans="1:12">
      <c r="A266" s="10" t="str">
        <f t="shared" ca="1" si="12"/>
        <v/>
      </c>
      <c r="B266" s="82" t="s">
        <v>275</v>
      </c>
      <c r="C266" s="10" t="s">
        <v>1115</v>
      </c>
      <c r="D266" s="10" t="s">
        <v>46</v>
      </c>
      <c r="E266" s="83" t="s">
        <v>597</v>
      </c>
      <c r="F266" s="84">
        <v>1</v>
      </c>
      <c r="G266" s="24">
        <f t="shared" si="13"/>
        <v>504.11924508348534</v>
      </c>
      <c r="H266" s="24">
        <f t="shared" si="14"/>
        <v>0</v>
      </c>
      <c r="I266" s="24">
        <v>504.11924508348534</v>
      </c>
      <c r="J266" s="24">
        <v>0</v>
      </c>
      <c r="K266" s="24">
        <v>504.11924508348534</v>
      </c>
      <c r="L266" s="24">
        <v>0</v>
      </c>
    </row>
    <row r="267" spans="1:12">
      <c r="A267" s="10">
        <f t="shared" ca="1" si="12"/>
        <v>279</v>
      </c>
      <c r="B267" s="82" t="s">
        <v>287</v>
      </c>
      <c r="C267" s="10" t="s">
        <v>1116</v>
      </c>
      <c r="D267" s="10" t="s">
        <v>47</v>
      </c>
      <c r="E267" s="83" t="s">
        <v>555</v>
      </c>
      <c r="F267" s="84">
        <v>1</v>
      </c>
      <c r="G267" s="24">
        <f t="shared" si="13"/>
        <v>699.36848503071997</v>
      </c>
      <c r="H267" s="24">
        <f t="shared" si="14"/>
        <v>0</v>
      </c>
      <c r="I267" s="24">
        <v>699.36848503071997</v>
      </c>
      <c r="J267" s="24">
        <v>0</v>
      </c>
      <c r="K267" s="24">
        <v>699.36848503071997</v>
      </c>
      <c r="L267" s="24">
        <v>0</v>
      </c>
    </row>
    <row r="268" spans="1:12">
      <c r="A268" s="10" t="str">
        <f t="shared" ca="1" si="12"/>
        <v/>
      </c>
      <c r="B268" s="82" t="s">
        <v>287</v>
      </c>
      <c r="C268" s="10" t="s">
        <v>1117</v>
      </c>
      <c r="D268" s="10" t="s">
        <v>47</v>
      </c>
      <c r="E268" s="83" t="s">
        <v>598</v>
      </c>
      <c r="F268" s="84">
        <v>1</v>
      </c>
      <c r="G268" s="24">
        <f t="shared" si="13"/>
        <v>349.68424251535998</v>
      </c>
      <c r="H268" s="24">
        <f t="shared" si="14"/>
        <v>0</v>
      </c>
      <c r="I268" s="24">
        <v>349.68424251535998</v>
      </c>
      <c r="J268" s="24">
        <v>0</v>
      </c>
      <c r="K268" s="24">
        <v>349.68424251535998</v>
      </c>
      <c r="L268" s="24">
        <v>0</v>
      </c>
    </row>
    <row r="269" spans="1:12">
      <c r="A269" s="10" t="str">
        <f t="shared" ca="1" si="12"/>
        <v/>
      </c>
      <c r="B269" s="82" t="s">
        <v>287</v>
      </c>
      <c r="C269" s="10" t="s">
        <v>1118</v>
      </c>
      <c r="D269" s="10" t="s">
        <v>47</v>
      </c>
      <c r="E269" s="83" t="s">
        <v>599</v>
      </c>
      <c r="F269" s="84">
        <v>2</v>
      </c>
      <c r="G269" s="24">
        <f t="shared" si="13"/>
        <v>349.68424251535998</v>
      </c>
      <c r="H269" s="24">
        <f t="shared" si="14"/>
        <v>0</v>
      </c>
      <c r="I269" s="24">
        <v>349.68424251535998</v>
      </c>
      <c r="J269" s="24">
        <v>0</v>
      </c>
      <c r="K269" s="24">
        <v>349.68424251535998</v>
      </c>
      <c r="L269" s="24">
        <v>0</v>
      </c>
    </row>
    <row r="270" spans="1:12">
      <c r="A270" s="10" t="str">
        <f t="shared" ca="1" si="12"/>
        <v/>
      </c>
      <c r="B270" s="82" t="s">
        <v>287</v>
      </c>
      <c r="C270" s="10" t="s">
        <v>1119</v>
      </c>
      <c r="D270" s="10" t="s">
        <v>47</v>
      </c>
      <c r="E270" s="83" t="s">
        <v>517</v>
      </c>
      <c r="F270" s="84">
        <v>1</v>
      </c>
      <c r="G270" s="24">
        <f t="shared" si="13"/>
        <v>1049.0527275460797</v>
      </c>
      <c r="H270" s="24">
        <f t="shared" si="14"/>
        <v>0</v>
      </c>
      <c r="I270" s="24">
        <v>1049.0527275460797</v>
      </c>
      <c r="J270" s="24">
        <v>0</v>
      </c>
      <c r="K270" s="24">
        <v>1049.0527275460797</v>
      </c>
      <c r="L270" s="24">
        <v>0</v>
      </c>
    </row>
    <row r="271" spans="1:12">
      <c r="A271" s="10" t="str">
        <f t="shared" ca="1" si="12"/>
        <v/>
      </c>
      <c r="B271" s="82" t="s">
        <v>287</v>
      </c>
      <c r="C271" s="10" t="s">
        <v>1120</v>
      </c>
      <c r="D271" s="10" t="s">
        <v>47</v>
      </c>
      <c r="E271" s="83" t="s">
        <v>514</v>
      </c>
      <c r="F271" s="84">
        <v>2</v>
      </c>
      <c r="G271" s="24">
        <f t="shared" si="13"/>
        <v>2797.4739401228799</v>
      </c>
      <c r="H271" s="24">
        <f t="shared" si="14"/>
        <v>0</v>
      </c>
      <c r="I271" s="24">
        <v>2797.4739401228799</v>
      </c>
      <c r="J271" s="24">
        <v>0</v>
      </c>
      <c r="K271" s="24">
        <v>2797.4739401228799</v>
      </c>
      <c r="L271" s="24">
        <v>0</v>
      </c>
    </row>
    <row r="272" spans="1:12">
      <c r="A272" s="10" t="str">
        <f t="shared" ca="1" si="12"/>
        <v/>
      </c>
      <c r="B272" s="82" t="s">
        <v>287</v>
      </c>
      <c r="C272" s="10" t="s">
        <v>1121</v>
      </c>
      <c r="D272" s="10" t="s">
        <v>47</v>
      </c>
      <c r="E272" s="83" t="s">
        <v>522</v>
      </c>
      <c r="F272" s="84">
        <v>2</v>
      </c>
      <c r="G272" s="24">
        <f t="shared" si="13"/>
        <v>2447.7896976075194</v>
      </c>
      <c r="H272" s="24">
        <f t="shared" si="14"/>
        <v>0</v>
      </c>
      <c r="I272" s="24">
        <v>2447.7896976075194</v>
      </c>
      <c r="J272" s="24">
        <v>0</v>
      </c>
      <c r="K272" s="24">
        <v>2447.7896976075194</v>
      </c>
      <c r="L272" s="24">
        <v>0</v>
      </c>
    </row>
    <row r="273" spans="1:12">
      <c r="A273" s="10" t="str">
        <f t="shared" ca="1" si="12"/>
        <v/>
      </c>
      <c r="B273" s="82" t="s">
        <v>287</v>
      </c>
      <c r="C273" s="10" t="s">
        <v>1122</v>
      </c>
      <c r="D273" s="10" t="s">
        <v>47</v>
      </c>
      <c r="E273" s="83" t="s">
        <v>547</v>
      </c>
      <c r="F273" s="84">
        <v>2</v>
      </c>
      <c r="G273" s="24">
        <f t="shared" si="13"/>
        <v>2447.7896976075194</v>
      </c>
      <c r="H273" s="24">
        <f t="shared" si="14"/>
        <v>0</v>
      </c>
      <c r="I273" s="24">
        <v>2447.7896976075194</v>
      </c>
      <c r="J273" s="24">
        <v>0</v>
      </c>
      <c r="K273" s="24">
        <v>2447.7896976075194</v>
      </c>
      <c r="L273" s="24">
        <v>0</v>
      </c>
    </row>
    <row r="274" spans="1:12">
      <c r="A274" s="10" t="str">
        <f t="shared" ca="1" si="12"/>
        <v/>
      </c>
      <c r="B274" s="82" t="s">
        <v>287</v>
      </c>
      <c r="C274" s="10" t="s">
        <v>1123</v>
      </c>
      <c r="D274" s="10" t="s">
        <v>47</v>
      </c>
      <c r="E274" s="83" t="s">
        <v>600</v>
      </c>
      <c r="F274" s="84">
        <v>2</v>
      </c>
      <c r="G274" s="24">
        <f t="shared" si="13"/>
        <v>2797.4739401228799</v>
      </c>
      <c r="H274" s="24">
        <f t="shared" si="14"/>
        <v>0</v>
      </c>
      <c r="I274" s="24">
        <v>2797.4739401228799</v>
      </c>
      <c r="J274" s="24">
        <v>0</v>
      </c>
      <c r="K274" s="24">
        <v>2797.4739401228799</v>
      </c>
      <c r="L274" s="24">
        <v>0</v>
      </c>
    </row>
    <row r="275" spans="1:12">
      <c r="A275" s="10" t="str">
        <f t="shared" ca="1" si="12"/>
        <v/>
      </c>
      <c r="B275" s="82" t="s">
        <v>287</v>
      </c>
      <c r="C275" s="10" t="s">
        <v>1124</v>
      </c>
      <c r="D275" s="10" t="s">
        <v>47</v>
      </c>
      <c r="E275" s="83" t="s">
        <v>601</v>
      </c>
      <c r="F275" s="84">
        <v>1</v>
      </c>
      <c r="G275" s="24">
        <f t="shared" si="13"/>
        <v>1398.7369700614399</v>
      </c>
      <c r="H275" s="24">
        <f t="shared" si="14"/>
        <v>0</v>
      </c>
      <c r="I275" s="24">
        <v>1398.7369700614399</v>
      </c>
      <c r="J275" s="24">
        <v>0</v>
      </c>
      <c r="K275" s="24">
        <v>1398.7369700614399</v>
      </c>
      <c r="L275" s="24">
        <v>0</v>
      </c>
    </row>
    <row r="276" spans="1:12">
      <c r="A276" s="10" t="str">
        <f t="shared" ca="1" si="12"/>
        <v/>
      </c>
      <c r="B276" s="82" t="s">
        <v>287</v>
      </c>
      <c r="C276" s="10" t="s">
        <v>1125</v>
      </c>
      <c r="D276" s="10" t="s">
        <v>47</v>
      </c>
      <c r="E276" s="83" t="s">
        <v>583</v>
      </c>
      <c r="F276" s="84">
        <v>1</v>
      </c>
      <c r="G276" s="24">
        <f t="shared" si="13"/>
        <v>699.36848503071997</v>
      </c>
      <c r="H276" s="24">
        <f t="shared" si="14"/>
        <v>0</v>
      </c>
      <c r="I276" s="24">
        <v>699.36848503071997</v>
      </c>
      <c r="J276" s="24">
        <v>0</v>
      </c>
      <c r="K276" s="24">
        <v>699.36848503071997</v>
      </c>
      <c r="L276" s="24">
        <v>0</v>
      </c>
    </row>
    <row r="277" spans="1:12">
      <c r="A277" s="10" t="str">
        <f t="shared" ca="1" si="12"/>
        <v/>
      </c>
      <c r="B277" s="82" t="s">
        <v>287</v>
      </c>
      <c r="C277" s="10" t="s">
        <v>1126</v>
      </c>
      <c r="D277" s="10" t="s">
        <v>47</v>
      </c>
      <c r="E277" s="83" t="s">
        <v>524</v>
      </c>
      <c r="F277" s="84">
        <v>2</v>
      </c>
      <c r="G277" s="24">
        <f t="shared" si="13"/>
        <v>2098.1054550921594</v>
      </c>
      <c r="H277" s="24">
        <f t="shared" si="14"/>
        <v>0</v>
      </c>
      <c r="I277" s="24">
        <v>2098.1054550921594</v>
      </c>
      <c r="J277" s="24">
        <v>0</v>
      </c>
      <c r="K277" s="24">
        <v>2098.1054550921594</v>
      </c>
      <c r="L277" s="24">
        <v>0</v>
      </c>
    </row>
    <row r="278" spans="1:12">
      <c r="A278" s="10" t="str">
        <f t="shared" ca="1" si="12"/>
        <v/>
      </c>
      <c r="B278" s="82" t="s">
        <v>287</v>
      </c>
      <c r="C278" s="10" t="s">
        <v>1127</v>
      </c>
      <c r="D278" s="10" t="s">
        <v>47</v>
      </c>
      <c r="E278" s="83" t="s">
        <v>602</v>
      </c>
      <c r="F278" s="84">
        <v>1</v>
      </c>
      <c r="G278" s="24">
        <f t="shared" si="13"/>
        <v>1398.7369700614399</v>
      </c>
      <c r="H278" s="24">
        <f t="shared" si="14"/>
        <v>0</v>
      </c>
      <c r="I278" s="24">
        <v>1398.7369700614399</v>
      </c>
      <c r="J278" s="24">
        <v>0</v>
      </c>
      <c r="K278" s="24">
        <v>1398.7369700614399</v>
      </c>
      <c r="L278" s="24">
        <v>0</v>
      </c>
    </row>
    <row r="279" spans="1:12">
      <c r="A279" s="10" t="str">
        <f t="shared" ca="1" si="12"/>
        <v/>
      </c>
      <c r="B279" s="82" t="s">
        <v>287</v>
      </c>
      <c r="C279" s="10" t="s">
        <v>1128</v>
      </c>
      <c r="D279" s="10" t="s">
        <v>47</v>
      </c>
      <c r="E279" s="83" t="s">
        <v>603</v>
      </c>
      <c r="F279" s="84">
        <v>2</v>
      </c>
      <c r="G279" s="24">
        <f t="shared" si="13"/>
        <v>699.36848503071997</v>
      </c>
      <c r="H279" s="24">
        <f t="shared" si="14"/>
        <v>0</v>
      </c>
      <c r="I279" s="24">
        <v>699.36848503071997</v>
      </c>
      <c r="J279" s="24">
        <v>0</v>
      </c>
      <c r="K279" s="24">
        <v>699.36848503071997</v>
      </c>
      <c r="L279" s="24">
        <v>0</v>
      </c>
    </row>
    <row r="280" spans="1:12">
      <c r="A280" s="10">
        <f t="shared" ca="1" si="12"/>
        <v>281</v>
      </c>
      <c r="B280" s="82" t="s">
        <v>288</v>
      </c>
      <c r="C280" s="10" t="s">
        <v>1129</v>
      </c>
      <c r="D280" s="10" t="s">
        <v>47</v>
      </c>
      <c r="E280" s="83"/>
      <c r="F280" s="84">
        <v>2</v>
      </c>
      <c r="G280" s="24">
        <f t="shared" si="13"/>
        <v>6.9615562266601492</v>
      </c>
      <c r="H280" s="24">
        <f t="shared" si="14"/>
        <v>0</v>
      </c>
      <c r="I280" s="24">
        <v>6.9615562266601492</v>
      </c>
      <c r="J280" s="24">
        <v>0</v>
      </c>
      <c r="K280" s="24">
        <v>6.9615562266601492</v>
      </c>
      <c r="L280" s="24">
        <v>0</v>
      </c>
    </row>
    <row r="281" spans="1:12">
      <c r="A281" s="10" t="str">
        <f t="shared" ca="1" si="12"/>
        <v/>
      </c>
      <c r="B281" s="82" t="s">
        <v>288</v>
      </c>
      <c r="C281" s="10" t="s">
        <v>1130</v>
      </c>
      <c r="D281" s="10" t="s">
        <v>47</v>
      </c>
      <c r="E281" s="83" t="s">
        <v>604</v>
      </c>
      <c r="F281" s="84">
        <v>4</v>
      </c>
      <c r="G281" s="24">
        <f t="shared" si="13"/>
        <v>208.84668679980444</v>
      </c>
      <c r="H281" s="24">
        <f t="shared" si="14"/>
        <v>0</v>
      </c>
      <c r="I281" s="24">
        <v>208.84668679980444</v>
      </c>
      <c r="J281" s="24">
        <v>0</v>
      </c>
      <c r="K281" s="24">
        <v>208.84668679980444</v>
      </c>
      <c r="L281" s="24">
        <v>0</v>
      </c>
    </row>
    <row r="282" spans="1:12">
      <c r="A282" s="10">
        <f t="shared" ca="1" si="12"/>
        <v>284</v>
      </c>
      <c r="B282" s="82" t="s">
        <v>285</v>
      </c>
      <c r="C282" s="10" t="s">
        <v>1131</v>
      </c>
      <c r="D282" s="10" t="s">
        <v>47</v>
      </c>
      <c r="E282" s="83" t="s">
        <v>605</v>
      </c>
      <c r="F282" s="84">
        <v>1</v>
      </c>
      <c r="G282" s="24">
        <f t="shared" si="13"/>
        <v>336.96147262021248</v>
      </c>
      <c r="H282" s="24">
        <f t="shared" si="14"/>
        <v>0</v>
      </c>
      <c r="I282" s="24">
        <v>336.96147262021248</v>
      </c>
      <c r="J282" s="24">
        <v>0</v>
      </c>
      <c r="K282" s="24">
        <v>336.96147262021248</v>
      </c>
      <c r="L282" s="24">
        <v>0</v>
      </c>
    </row>
    <row r="283" spans="1:12">
      <c r="A283" s="10" t="str">
        <f t="shared" ca="1" si="12"/>
        <v/>
      </c>
      <c r="B283" s="82" t="s">
        <v>285</v>
      </c>
      <c r="C283" s="10" t="s">
        <v>1132</v>
      </c>
      <c r="D283" s="10" t="s">
        <v>47</v>
      </c>
      <c r="E283" s="83" t="s">
        <v>511</v>
      </c>
      <c r="F283" s="84">
        <v>1</v>
      </c>
      <c r="G283" s="24">
        <f t="shared" si="13"/>
        <v>1797.1278539744662</v>
      </c>
      <c r="H283" s="24">
        <f t="shared" si="14"/>
        <v>0</v>
      </c>
      <c r="I283" s="24">
        <v>1797.1278539744662</v>
      </c>
      <c r="J283" s="24">
        <v>0</v>
      </c>
      <c r="K283" s="24">
        <v>1797.1278539744662</v>
      </c>
      <c r="L283" s="24">
        <v>0</v>
      </c>
    </row>
    <row r="284" spans="1:12">
      <c r="A284" s="10" t="str">
        <f t="shared" ca="1" si="12"/>
        <v/>
      </c>
      <c r="B284" s="82" t="s">
        <v>285</v>
      </c>
      <c r="C284" s="10" t="s">
        <v>1133</v>
      </c>
      <c r="D284" s="10" t="s">
        <v>47</v>
      </c>
      <c r="E284" s="83" t="s">
        <v>537</v>
      </c>
      <c r="F284" s="84">
        <v>2</v>
      </c>
      <c r="G284" s="24">
        <f t="shared" si="13"/>
        <v>561.60245436702075</v>
      </c>
      <c r="H284" s="24">
        <f t="shared" si="14"/>
        <v>0</v>
      </c>
      <c r="I284" s="24">
        <v>561.60245436702075</v>
      </c>
      <c r="J284" s="24">
        <v>0</v>
      </c>
      <c r="K284" s="24">
        <v>561.60245436702075</v>
      </c>
      <c r="L284" s="24">
        <v>0</v>
      </c>
    </row>
    <row r="285" spans="1:12">
      <c r="A285" s="10">
        <f t="shared" ca="1" si="12"/>
        <v>318</v>
      </c>
      <c r="B285" s="82" t="s">
        <v>277</v>
      </c>
      <c r="C285" s="10" t="s">
        <v>1134</v>
      </c>
      <c r="D285" s="10" t="s">
        <v>46</v>
      </c>
      <c r="E285" s="83" t="s">
        <v>548</v>
      </c>
      <c r="F285" s="84">
        <v>1</v>
      </c>
      <c r="G285" s="24">
        <f t="shared" si="13"/>
        <v>7662.3465635245411</v>
      </c>
      <c r="H285" s="24">
        <f t="shared" si="14"/>
        <v>0</v>
      </c>
      <c r="I285" s="24">
        <v>7662.3465635245411</v>
      </c>
      <c r="J285" s="24">
        <v>0</v>
      </c>
      <c r="K285" s="24">
        <v>7662.3465635245411</v>
      </c>
      <c r="L285" s="24">
        <v>0</v>
      </c>
    </row>
    <row r="286" spans="1:12">
      <c r="A286" s="10" t="str">
        <f t="shared" ca="1" si="12"/>
        <v/>
      </c>
      <c r="B286" s="82" t="s">
        <v>277</v>
      </c>
      <c r="C286" s="10" t="s">
        <v>1135</v>
      </c>
      <c r="D286" s="10" t="s">
        <v>46</v>
      </c>
      <c r="E286" s="83" t="s">
        <v>785</v>
      </c>
      <c r="F286" s="84">
        <v>1</v>
      </c>
      <c r="G286" s="24">
        <f t="shared" si="13"/>
        <v>1277.0577605874234</v>
      </c>
      <c r="H286" s="24">
        <f t="shared" si="14"/>
        <v>0</v>
      </c>
      <c r="I286" s="24">
        <v>1277.0577605874234</v>
      </c>
      <c r="J286" s="24">
        <v>0</v>
      </c>
      <c r="K286" s="24">
        <v>1277.0577605874234</v>
      </c>
      <c r="L286" s="24">
        <v>0</v>
      </c>
    </row>
    <row r="287" spans="1:12">
      <c r="A287" s="10" t="str">
        <f t="shared" ca="1" si="12"/>
        <v/>
      </c>
      <c r="B287" s="82" t="s">
        <v>277</v>
      </c>
      <c r="C287" s="10" t="s">
        <v>1136</v>
      </c>
      <c r="D287" s="10" t="s">
        <v>46</v>
      </c>
      <c r="E287" s="83" t="s">
        <v>786</v>
      </c>
      <c r="F287" s="84">
        <v>3</v>
      </c>
      <c r="G287" s="24">
        <f t="shared" si="13"/>
        <v>425.68592019580785</v>
      </c>
      <c r="H287" s="24">
        <f t="shared" si="14"/>
        <v>0</v>
      </c>
      <c r="I287" s="24">
        <v>425.68592019580785</v>
      </c>
      <c r="J287" s="24">
        <v>0</v>
      </c>
      <c r="K287" s="24">
        <v>425.68592019580785</v>
      </c>
      <c r="L287" s="24">
        <v>0</v>
      </c>
    </row>
    <row r="288" spans="1:12">
      <c r="A288" s="10" t="str">
        <f t="shared" ca="1" si="12"/>
        <v/>
      </c>
      <c r="B288" s="82" t="s">
        <v>277</v>
      </c>
      <c r="C288" s="10" t="s">
        <v>1137</v>
      </c>
      <c r="D288" s="10" t="s">
        <v>46</v>
      </c>
      <c r="E288" s="83" t="s">
        <v>787</v>
      </c>
      <c r="F288" s="84">
        <v>1</v>
      </c>
      <c r="G288" s="24">
        <f t="shared" si="13"/>
        <v>425.68592019580785</v>
      </c>
      <c r="H288" s="24">
        <f t="shared" si="14"/>
        <v>0</v>
      </c>
      <c r="I288" s="24">
        <v>425.68592019580785</v>
      </c>
      <c r="J288" s="24">
        <v>0</v>
      </c>
      <c r="K288" s="24">
        <v>425.68592019580785</v>
      </c>
      <c r="L288" s="24">
        <v>0</v>
      </c>
    </row>
    <row r="289" spans="1:12">
      <c r="A289" s="10" t="str">
        <f t="shared" ca="1" si="12"/>
        <v/>
      </c>
      <c r="B289" s="82" t="s">
        <v>277</v>
      </c>
      <c r="C289" s="10" t="s">
        <v>1138</v>
      </c>
      <c r="D289" s="10" t="s">
        <v>46</v>
      </c>
      <c r="E289" s="83" t="s">
        <v>606</v>
      </c>
      <c r="F289" s="84">
        <v>1</v>
      </c>
      <c r="G289" s="24">
        <f t="shared" si="13"/>
        <v>425.68592019580785</v>
      </c>
      <c r="H289" s="24">
        <f t="shared" si="14"/>
        <v>0</v>
      </c>
      <c r="I289" s="24">
        <v>425.68592019580785</v>
      </c>
      <c r="J289" s="24">
        <v>0</v>
      </c>
      <c r="K289" s="24">
        <v>425.68592019580785</v>
      </c>
      <c r="L289" s="24">
        <v>0</v>
      </c>
    </row>
    <row r="290" spans="1:12">
      <c r="A290" s="10" t="str">
        <f t="shared" ca="1" si="12"/>
        <v/>
      </c>
      <c r="B290" s="82" t="s">
        <v>277</v>
      </c>
      <c r="C290" s="10" t="s">
        <v>1139</v>
      </c>
      <c r="D290" s="10" t="s">
        <v>46</v>
      </c>
      <c r="E290" s="83" t="s">
        <v>788</v>
      </c>
      <c r="F290" s="84">
        <v>1</v>
      </c>
      <c r="G290" s="24">
        <f t="shared" si="13"/>
        <v>425.68592019580785</v>
      </c>
      <c r="H290" s="24">
        <f t="shared" si="14"/>
        <v>0</v>
      </c>
      <c r="I290" s="24">
        <v>425.68592019580785</v>
      </c>
      <c r="J290" s="24">
        <v>0</v>
      </c>
      <c r="K290" s="24">
        <v>425.68592019580785</v>
      </c>
      <c r="L290" s="24">
        <v>0</v>
      </c>
    </row>
    <row r="291" spans="1:12">
      <c r="A291" s="10" t="str">
        <f t="shared" ca="1" si="12"/>
        <v/>
      </c>
      <c r="B291" s="82" t="s">
        <v>277</v>
      </c>
      <c r="C291" s="10" t="s">
        <v>1140</v>
      </c>
      <c r="D291" s="10" t="s">
        <v>46</v>
      </c>
      <c r="E291" s="83" t="s">
        <v>607</v>
      </c>
      <c r="F291" s="84">
        <v>1</v>
      </c>
      <c r="G291" s="24">
        <f t="shared" si="13"/>
        <v>425.68592019580785</v>
      </c>
      <c r="H291" s="24">
        <f t="shared" si="14"/>
        <v>0</v>
      </c>
      <c r="I291" s="24">
        <v>425.68592019580785</v>
      </c>
      <c r="J291" s="24">
        <v>0</v>
      </c>
      <c r="K291" s="24">
        <v>425.68592019580785</v>
      </c>
      <c r="L291" s="24">
        <v>0</v>
      </c>
    </row>
    <row r="292" spans="1:12">
      <c r="A292" s="10" t="str">
        <f t="shared" ca="1" si="12"/>
        <v/>
      </c>
      <c r="B292" s="82" t="s">
        <v>277</v>
      </c>
      <c r="C292" s="10" t="s">
        <v>1141</v>
      </c>
      <c r="D292" s="10" t="s">
        <v>46</v>
      </c>
      <c r="E292" s="83" t="s">
        <v>608</v>
      </c>
      <c r="F292" s="84">
        <v>1</v>
      </c>
      <c r="G292" s="24">
        <f t="shared" si="13"/>
        <v>170.27436807832314</v>
      </c>
      <c r="H292" s="24">
        <f t="shared" si="14"/>
        <v>0</v>
      </c>
      <c r="I292" s="24">
        <v>170.27436807832314</v>
      </c>
      <c r="J292" s="24">
        <v>0</v>
      </c>
      <c r="K292" s="24">
        <v>170.27436807832314</v>
      </c>
      <c r="L292" s="24">
        <v>0</v>
      </c>
    </row>
    <row r="293" spans="1:12">
      <c r="A293" s="10" t="str">
        <f t="shared" ca="1" si="12"/>
        <v/>
      </c>
      <c r="B293" s="82" t="s">
        <v>277</v>
      </c>
      <c r="C293" s="10" t="s">
        <v>1142</v>
      </c>
      <c r="D293" s="10" t="s">
        <v>46</v>
      </c>
      <c r="E293" s="83" t="s">
        <v>789</v>
      </c>
      <c r="F293" s="84">
        <v>1</v>
      </c>
      <c r="G293" s="24">
        <f t="shared" si="13"/>
        <v>170.27436807832314</v>
      </c>
      <c r="H293" s="24">
        <f t="shared" si="14"/>
        <v>0</v>
      </c>
      <c r="I293" s="24">
        <v>170.27436807832314</v>
      </c>
      <c r="J293" s="24">
        <v>0</v>
      </c>
      <c r="K293" s="24">
        <v>170.27436807832314</v>
      </c>
      <c r="L293" s="24">
        <v>0</v>
      </c>
    </row>
    <row r="294" spans="1:12">
      <c r="A294" s="10" t="str">
        <f t="shared" ca="1" si="12"/>
        <v/>
      </c>
      <c r="B294" s="82" t="s">
        <v>277</v>
      </c>
      <c r="C294" s="10" t="s">
        <v>1143</v>
      </c>
      <c r="D294" s="10" t="s">
        <v>46</v>
      </c>
      <c r="E294" s="83" t="s">
        <v>790</v>
      </c>
      <c r="F294" s="84">
        <v>1</v>
      </c>
      <c r="G294" s="24">
        <f t="shared" si="13"/>
        <v>170.27436807832314</v>
      </c>
      <c r="H294" s="24">
        <f t="shared" si="14"/>
        <v>0</v>
      </c>
      <c r="I294" s="24">
        <v>170.27436807832314</v>
      </c>
      <c r="J294" s="24">
        <v>0</v>
      </c>
      <c r="K294" s="24">
        <v>170.27436807832314</v>
      </c>
      <c r="L294" s="24">
        <v>0</v>
      </c>
    </row>
    <row r="295" spans="1:12">
      <c r="A295" s="10" t="str">
        <f t="shared" ca="1" si="12"/>
        <v/>
      </c>
      <c r="B295" s="82" t="s">
        <v>277</v>
      </c>
      <c r="C295" s="10" t="s">
        <v>1144</v>
      </c>
      <c r="D295" s="10" t="s">
        <v>46</v>
      </c>
      <c r="E295" s="83" t="s">
        <v>791</v>
      </c>
      <c r="F295" s="84">
        <v>1</v>
      </c>
      <c r="G295" s="24">
        <f t="shared" si="13"/>
        <v>170.27436807832314</v>
      </c>
      <c r="H295" s="24">
        <f t="shared" si="14"/>
        <v>0</v>
      </c>
      <c r="I295" s="24">
        <v>170.27436807832314</v>
      </c>
      <c r="J295" s="24">
        <v>0</v>
      </c>
      <c r="K295" s="24">
        <v>170.27436807832314</v>
      </c>
      <c r="L295" s="24">
        <v>0</v>
      </c>
    </row>
    <row r="296" spans="1:12">
      <c r="A296" s="10" t="str">
        <f t="shared" ca="1" si="12"/>
        <v/>
      </c>
      <c r="B296" s="82" t="s">
        <v>277</v>
      </c>
      <c r="C296" s="10" t="s">
        <v>1145</v>
      </c>
      <c r="D296" s="10" t="s">
        <v>46</v>
      </c>
      <c r="E296" s="83" t="s">
        <v>792</v>
      </c>
      <c r="F296" s="84">
        <v>1</v>
      </c>
      <c r="G296" s="24">
        <f t="shared" si="13"/>
        <v>170.27436807832314</v>
      </c>
      <c r="H296" s="24">
        <f t="shared" si="14"/>
        <v>0</v>
      </c>
      <c r="I296" s="24">
        <v>170.27436807832314</v>
      </c>
      <c r="J296" s="24">
        <v>0</v>
      </c>
      <c r="K296" s="24">
        <v>170.27436807832314</v>
      </c>
      <c r="L296" s="24">
        <v>0</v>
      </c>
    </row>
    <row r="297" spans="1:12">
      <c r="A297" s="10" t="str">
        <f t="shared" ca="1" si="12"/>
        <v/>
      </c>
      <c r="B297" s="82" t="s">
        <v>277</v>
      </c>
      <c r="C297" s="10" t="s">
        <v>1146</v>
      </c>
      <c r="D297" s="10" t="s">
        <v>46</v>
      </c>
      <c r="E297" s="83" t="s">
        <v>550</v>
      </c>
      <c r="F297" s="84">
        <v>1</v>
      </c>
      <c r="G297" s="24">
        <f t="shared" si="13"/>
        <v>170.27436807832314</v>
      </c>
      <c r="H297" s="24">
        <f t="shared" si="14"/>
        <v>0</v>
      </c>
      <c r="I297" s="24">
        <v>170.27436807832314</v>
      </c>
      <c r="J297" s="24">
        <v>0</v>
      </c>
      <c r="K297" s="24">
        <v>170.27436807832314</v>
      </c>
      <c r="L297" s="24">
        <v>0</v>
      </c>
    </row>
    <row r="298" spans="1:12">
      <c r="A298" s="10" t="str">
        <f t="shared" ca="1" si="12"/>
        <v/>
      </c>
      <c r="B298" s="82" t="s">
        <v>277</v>
      </c>
      <c r="C298" s="10" t="s">
        <v>1147</v>
      </c>
      <c r="D298" s="10" t="s">
        <v>46</v>
      </c>
      <c r="E298" s="83" t="s">
        <v>793</v>
      </c>
      <c r="F298" s="84">
        <v>1</v>
      </c>
      <c r="G298" s="24">
        <f t="shared" si="13"/>
        <v>425.68592019580785</v>
      </c>
      <c r="H298" s="24">
        <f t="shared" si="14"/>
        <v>0</v>
      </c>
      <c r="I298" s="24">
        <v>425.68592019580785</v>
      </c>
      <c r="J298" s="24">
        <v>0</v>
      </c>
      <c r="K298" s="24">
        <v>425.68592019580785</v>
      </c>
      <c r="L298" s="24">
        <v>0</v>
      </c>
    </row>
    <row r="299" spans="1:12">
      <c r="A299" s="10" t="str">
        <f t="shared" ca="1" si="12"/>
        <v/>
      </c>
      <c r="B299" s="82" t="s">
        <v>277</v>
      </c>
      <c r="C299" s="10" t="s">
        <v>1148</v>
      </c>
      <c r="D299" s="10" t="s">
        <v>46</v>
      </c>
      <c r="E299" s="83" t="s">
        <v>573</v>
      </c>
      <c r="F299" s="84">
        <v>1</v>
      </c>
      <c r="G299" s="24">
        <f t="shared" si="13"/>
        <v>170.27436807832314</v>
      </c>
      <c r="H299" s="24">
        <f t="shared" si="14"/>
        <v>0</v>
      </c>
      <c r="I299" s="24">
        <v>170.27436807832314</v>
      </c>
      <c r="J299" s="24">
        <v>0</v>
      </c>
      <c r="K299" s="24">
        <v>170.27436807832314</v>
      </c>
      <c r="L299" s="24">
        <v>0</v>
      </c>
    </row>
    <row r="300" spans="1:12">
      <c r="A300" s="10" t="str">
        <f t="shared" ca="1" si="12"/>
        <v/>
      </c>
      <c r="B300" s="82" t="s">
        <v>277</v>
      </c>
      <c r="C300" s="10" t="s">
        <v>1149</v>
      </c>
      <c r="D300" s="10" t="s">
        <v>46</v>
      </c>
      <c r="E300" s="83" t="s">
        <v>564</v>
      </c>
      <c r="F300" s="84">
        <v>1</v>
      </c>
      <c r="G300" s="24">
        <f t="shared" si="13"/>
        <v>170.27436807832314</v>
      </c>
      <c r="H300" s="24">
        <f t="shared" si="14"/>
        <v>0</v>
      </c>
      <c r="I300" s="24">
        <v>170.27436807832314</v>
      </c>
      <c r="J300" s="24">
        <v>0</v>
      </c>
      <c r="K300" s="24">
        <v>170.27436807832314</v>
      </c>
      <c r="L300" s="24">
        <v>0</v>
      </c>
    </row>
    <row r="301" spans="1:12">
      <c r="A301" s="10" t="str">
        <f t="shared" ca="1" si="12"/>
        <v/>
      </c>
      <c r="B301" s="82" t="s">
        <v>277</v>
      </c>
      <c r="C301" s="10" t="s">
        <v>1150</v>
      </c>
      <c r="D301" s="10" t="s">
        <v>46</v>
      </c>
      <c r="E301" s="83" t="s">
        <v>777</v>
      </c>
      <c r="F301" s="84">
        <v>1</v>
      </c>
      <c r="G301" s="24">
        <f t="shared" si="13"/>
        <v>425.68592019580785</v>
      </c>
      <c r="H301" s="24">
        <f t="shared" si="14"/>
        <v>0</v>
      </c>
      <c r="I301" s="24">
        <v>425.68592019580785</v>
      </c>
      <c r="J301" s="24">
        <v>0</v>
      </c>
      <c r="K301" s="24">
        <v>425.68592019580785</v>
      </c>
      <c r="L301" s="24">
        <v>0</v>
      </c>
    </row>
    <row r="302" spans="1:12">
      <c r="A302" s="10" t="str">
        <f t="shared" ca="1" si="12"/>
        <v/>
      </c>
      <c r="B302" s="82" t="s">
        <v>277</v>
      </c>
      <c r="C302" s="10" t="s">
        <v>1151</v>
      </c>
      <c r="D302" s="10" t="s">
        <v>46</v>
      </c>
      <c r="E302" s="83" t="s">
        <v>794</v>
      </c>
      <c r="F302" s="84">
        <v>1</v>
      </c>
      <c r="G302" s="24">
        <f t="shared" si="13"/>
        <v>170.27436807832314</v>
      </c>
      <c r="H302" s="24">
        <f t="shared" si="14"/>
        <v>0</v>
      </c>
      <c r="I302" s="24">
        <v>170.27436807832314</v>
      </c>
      <c r="J302" s="24">
        <v>0</v>
      </c>
      <c r="K302" s="24">
        <v>170.27436807832314</v>
      </c>
      <c r="L302" s="24">
        <v>0</v>
      </c>
    </row>
    <row r="303" spans="1:12">
      <c r="A303" s="10" t="str">
        <f t="shared" ca="1" si="12"/>
        <v/>
      </c>
      <c r="B303" s="82" t="s">
        <v>277</v>
      </c>
      <c r="C303" s="10" t="s">
        <v>1152</v>
      </c>
      <c r="D303" s="10" t="s">
        <v>46</v>
      </c>
      <c r="E303" s="83" t="s">
        <v>795</v>
      </c>
      <c r="F303" s="84">
        <v>1</v>
      </c>
      <c r="G303" s="24">
        <f t="shared" si="13"/>
        <v>170.27436807832314</v>
      </c>
      <c r="H303" s="24">
        <f t="shared" si="14"/>
        <v>0</v>
      </c>
      <c r="I303" s="24">
        <v>170.27436807832314</v>
      </c>
      <c r="J303" s="24">
        <v>0</v>
      </c>
      <c r="K303" s="24">
        <v>170.27436807832314</v>
      </c>
      <c r="L303" s="24">
        <v>0</v>
      </c>
    </row>
    <row r="304" spans="1:12">
      <c r="A304" s="10" t="str">
        <f t="shared" ca="1" si="12"/>
        <v/>
      </c>
      <c r="B304" s="82" t="s">
        <v>277</v>
      </c>
      <c r="C304" s="10" t="s">
        <v>1153</v>
      </c>
      <c r="D304" s="10" t="s">
        <v>46</v>
      </c>
      <c r="E304" s="83" t="s">
        <v>609</v>
      </c>
      <c r="F304" s="84">
        <v>1</v>
      </c>
      <c r="G304" s="24">
        <f t="shared" si="13"/>
        <v>170.27436807832314</v>
      </c>
      <c r="H304" s="24">
        <f t="shared" si="14"/>
        <v>0</v>
      </c>
      <c r="I304" s="24">
        <v>170.27436807832314</v>
      </c>
      <c r="J304" s="24">
        <v>0</v>
      </c>
      <c r="K304" s="24">
        <v>170.27436807832314</v>
      </c>
      <c r="L304" s="24">
        <v>0</v>
      </c>
    </row>
    <row r="305" spans="1:12">
      <c r="A305" s="10" t="str">
        <f t="shared" ca="1" si="12"/>
        <v/>
      </c>
      <c r="B305" s="82" t="s">
        <v>277</v>
      </c>
      <c r="C305" s="10" t="s">
        <v>1154</v>
      </c>
      <c r="D305" s="10" t="s">
        <v>46</v>
      </c>
      <c r="E305" s="83" t="s">
        <v>575</v>
      </c>
      <c r="F305" s="84">
        <v>1</v>
      </c>
      <c r="G305" s="24">
        <f t="shared" si="13"/>
        <v>170.27436807832314</v>
      </c>
      <c r="H305" s="24">
        <f t="shared" si="14"/>
        <v>0</v>
      </c>
      <c r="I305" s="24">
        <v>170.27436807832314</v>
      </c>
      <c r="J305" s="24">
        <v>0</v>
      </c>
      <c r="K305" s="24">
        <v>170.27436807832314</v>
      </c>
      <c r="L305" s="24">
        <v>0</v>
      </c>
    </row>
    <row r="306" spans="1:12">
      <c r="A306" s="10" t="str">
        <f t="shared" ca="1" si="12"/>
        <v/>
      </c>
      <c r="B306" s="82" t="s">
        <v>277</v>
      </c>
      <c r="C306" s="10" t="s">
        <v>1155</v>
      </c>
      <c r="D306" s="10" t="s">
        <v>46</v>
      </c>
      <c r="E306" s="83" t="s">
        <v>565</v>
      </c>
      <c r="F306" s="84">
        <v>1</v>
      </c>
      <c r="G306" s="24">
        <f t="shared" si="13"/>
        <v>170.27436807832314</v>
      </c>
      <c r="H306" s="24">
        <f t="shared" si="14"/>
        <v>0</v>
      </c>
      <c r="I306" s="24">
        <v>170.27436807832314</v>
      </c>
      <c r="J306" s="24">
        <v>0</v>
      </c>
      <c r="K306" s="24">
        <v>170.27436807832314</v>
      </c>
      <c r="L306" s="24">
        <v>0</v>
      </c>
    </row>
    <row r="307" spans="1:12">
      <c r="A307" s="10" t="str">
        <f t="shared" ca="1" si="12"/>
        <v/>
      </c>
      <c r="B307" s="82" t="s">
        <v>277</v>
      </c>
      <c r="C307" s="10" t="s">
        <v>1156</v>
      </c>
      <c r="D307" s="10" t="s">
        <v>46</v>
      </c>
      <c r="E307" s="83" t="s">
        <v>610</v>
      </c>
      <c r="F307" s="84">
        <v>1</v>
      </c>
      <c r="G307" s="24">
        <f t="shared" si="13"/>
        <v>170.27436807832314</v>
      </c>
      <c r="H307" s="24">
        <f t="shared" si="14"/>
        <v>0</v>
      </c>
      <c r="I307" s="24">
        <v>170.27436807832314</v>
      </c>
      <c r="J307" s="24">
        <v>0</v>
      </c>
      <c r="K307" s="24">
        <v>170.27436807832314</v>
      </c>
      <c r="L307" s="24">
        <v>0</v>
      </c>
    </row>
    <row r="308" spans="1:12">
      <c r="A308" s="10" t="str">
        <f t="shared" ca="1" si="12"/>
        <v/>
      </c>
      <c r="B308" s="82" t="s">
        <v>277</v>
      </c>
      <c r="C308" s="10" t="s">
        <v>1157</v>
      </c>
      <c r="D308" s="10" t="s">
        <v>46</v>
      </c>
      <c r="E308" s="83" t="s">
        <v>796</v>
      </c>
      <c r="F308" s="84">
        <v>1</v>
      </c>
      <c r="G308" s="24">
        <f t="shared" si="13"/>
        <v>425.68592019580785</v>
      </c>
      <c r="H308" s="24">
        <f t="shared" si="14"/>
        <v>0</v>
      </c>
      <c r="I308" s="24">
        <v>425.68592019580785</v>
      </c>
      <c r="J308" s="24">
        <v>0</v>
      </c>
      <c r="K308" s="24">
        <v>425.68592019580785</v>
      </c>
      <c r="L308" s="24">
        <v>0</v>
      </c>
    </row>
    <row r="309" spans="1:12">
      <c r="A309" s="10" t="str">
        <f t="shared" ca="1" si="12"/>
        <v/>
      </c>
      <c r="B309" s="82" t="s">
        <v>277</v>
      </c>
      <c r="C309" s="10" t="s">
        <v>1158</v>
      </c>
      <c r="D309" s="10" t="s">
        <v>46</v>
      </c>
      <c r="E309" s="83" t="s">
        <v>797</v>
      </c>
      <c r="F309" s="84">
        <v>1</v>
      </c>
      <c r="G309" s="24">
        <f t="shared" si="13"/>
        <v>170.27436807832314</v>
      </c>
      <c r="H309" s="24">
        <f t="shared" si="14"/>
        <v>0</v>
      </c>
      <c r="I309" s="24">
        <v>170.27436807832314</v>
      </c>
      <c r="J309" s="24">
        <v>0</v>
      </c>
      <c r="K309" s="24">
        <v>170.27436807832314</v>
      </c>
      <c r="L309" s="24">
        <v>0</v>
      </c>
    </row>
    <row r="310" spans="1:12">
      <c r="A310" s="10" t="str">
        <f t="shared" ca="1" si="12"/>
        <v/>
      </c>
      <c r="B310" s="82" t="s">
        <v>277</v>
      </c>
      <c r="C310" s="10" t="s">
        <v>1159</v>
      </c>
      <c r="D310" s="10" t="s">
        <v>46</v>
      </c>
      <c r="E310" s="83" t="s">
        <v>611</v>
      </c>
      <c r="F310" s="84">
        <v>1</v>
      </c>
      <c r="G310" s="24">
        <f t="shared" si="13"/>
        <v>170.27436807832314</v>
      </c>
      <c r="H310" s="24">
        <f t="shared" si="14"/>
        <v>0</v>
      </c>
      <c r="I310" s="24">
        <v>170.27436807832314</v>
      </c>
      <c r="J310" s="24">
        <v>0</v>
      </c>
      <c r="K310" s="24">
        <v>170.27436807832314</v>
      </c>
      <c r="L310" s="24">
        <v>0</v>
      </c>
    </row>
    <row r="311" spans="1:12">
      <c r="A311" s="10" t="str">
        <f t="shared" ca="1" si="12"/>
        <v/>
      </c>
      <c r="B311" s="82" t="s">
        <v>277</v>
      </c>
      <c r="C311" s="10" t="s">
        <v>1160</v>
      </c>
      <c r="D311" s="10" t="s">
        <v>46</v>
      </c>
      <c r="E311" s="83" t="s">
        <v>522</v>
      </c>
      <c r="F311" s="84">
        <v>2</v>
      </c>
      <c r="G311" s="24">
        <f t="shared" si="13"/>
        <v>425.68592019580785</v>
      </c>
      <c r="H311" s="24">
        <f t="shared" si="14"/>
        <v>0</v>
      </c>
      <c r="I311" s="24">
        <v>425.68592019580785</v>
      </c>
      <c r="J311" s="24">
        <v>0</v>
      </c>
      <c r="K311" s="24">
        <v>425.68592019580785</v>
      </c>
      <c r="L311" s="24">
        <v>0</v>
      </c>
    </row>
    <row r="312" spans="1:12">
      <c r="A312" s="10" t="str">
        <f t="shared" ca="1" si="12"/>
        <v/>
      </c>
      <c r="B312" s="82" t="s">
        <v>277</v>
      </c>
      <c r="C312" s="10" t="s">
        <v>1161</v>
      </c>
      <c r="D312" s="10" t="s">
        <v>46</v>
      </c>
      <c r="E312" s="83" t="s">
        <v>512</v>
      </c>
      <c r="F312" s="84">
        <v>1</v>
      </c>
      <c r="G312" s="24">
        <f t="shared" si="13"/>
        <v>425.68592019580785</v>
      </c>
      <c r="H312" s="24">
        <f t="shared" si="14"/>
        <v>0</v>
      </c>
      <c r="I312" s="24">
        <v>425.68592019580785</v>
      </c>
      <c r="J312" s="24">
        <v>0</v>
      </c>
      <c r="K312" s="24">
        <v>425.68592019580785</v>
      </c>
      <c r="L312" s="24">
        <v>0</v>
      </c>
    </row>
    <row r="313" spans="1:12">
      <c r="A313" s="10" t="str">
        <f t="shared" ca="1" si="12"/>
        <v/>
      </c>
      <c r="B313" s="82" t="s">
        <v>277</v>
      </c>
      <c r="C313" s="10" t="s">
        <v>1162</v>
      </c>
      <c r="D313" s="10" t="s">
        <v>46</v>
      </c>
      <c r="E313" s="83" t="s">
        <v>535</v>
      </c>
      <c r="F313" s="84">
        <v>1</v>
      </c>
      <c r="G313" s="24">
        <f t="shared" si="13"/>
        <v>425.68592019580785</v>
      </c>
      <c r="H313" s="24">
        <f t="shared" si="14"/>
        <v>0</v>
      </c>
      <c r="I313" s="24">
        <v>425.68592019580785</v>
      </c>
      <c r="J313" s="24">
        <v>0</v>
      </c>
      <c r="K313" s="24">
        <v>425.68592019580785</v>
      </c>
      <c r="L313" s="24">
        <v>0</v>
      </c>
    </row>
    <row r="314" spans="1:12">
      <c r="A314" s="10" t="str">
        <f t="shared" ca="1" si="12"/>
        <v/>
      </c>
      <c r="B314" s="82" t="s">
        <v>277</v>
      </c>
      <c r="C314" s="10" t="s">
        <v>1163</v>
      </c>
      <c r="D314" s="10" t="s">
        <v>46</v>
      </c>
      <c r="E314" s="83" t="s">
        <v>523</v>
      </c>
      <c r="F314" s="84">
        <v>2</v>
      </c>
      <c r="G314" s="24">
        <f t="shared" si="13"/>
        <v>425.68592019580785</v>
      </c>
      <c r="H314" s="24">
        <f t="shared" si="14"/>
        <v>0</v>
      </c>
      <c r="I314" s="24">
        <v>425.68592019580785</v>
      </c>
      <c r="J314" s="24">
        <v>0</v>
      </c>
      <c r="K314" s="24">
        <v>425.68592019580785</v>
      </c>
      <c r="L314" s="24">
        <v>0</v>
      </c>
    </row>
    <row r="315" spans="1:12">
      <c r="A315" s="10" t="str">
        <f t="shared" ca="1" si="12"/>
        <v/>
      </c>
      <c r="B315" s="82" t="s">
        <v>277</v>
      </c>
      <c r="C315" s="10" t="s">
        <v>1164</v>
      </c>
      <c r="D315" s="10" t="s">
        <v>46</v>
      </c>
      <c r="E315" s="83" t="s">
        <v>524</v>
      </c>
      <c r="F315" s="84">
        <v>2</v>
      </c>
      <c r="G315" s="24">
        <f t="shared" si="13"/>
        <v>425.68592019580785</v>
      </c>
      <c r="H315" s="24">
        <f t="shared" si="14"/>
        <v>0</v>
      </c>
      <c r="I315" s="24">
        <v>425.68592019580785</v>
      </c>
      <c r="J315" s="24">
        <v>0</v>
      </c>
      <c r="K315" s="24">
        <v>425.68592019580785</v>
      </c>
      <c r="L315" s="24">
        <v>0</v>
      </c>
    </row>
    <row r="316" spans="1:12">
      <c r="A316" s="10" t="str">
        <f t="shared" ca="1" si="12"/>
        <v/>
      </c>
      <c r="B316" s="82" t="s">
        <v>277</v>
      </c>
      <c r="C316" s="10" t="s">
        <v>1165</v>
      </c>
      <c r="D316" s="10" t="s">
        <v>46</v>
      </c>
      <c r="E316" s="83" t="s">
        <v>612</v>
      </c>
      <c r="F316" s="84">
        <v>1</v>
      </c>
      <c r="G316" s="24">
        <f t="shared" si="13"/>
        <v>425.68592019580785</v>
      </c>
      <c r="H316" s="24">
        <f t="shared" si="14"/>
        <v>0</v>
      </c>
      <c r="I316" s="24">
        <v>425.68592019580785</v>
      </c>
      <c r="J316" s="24">
        <v>0</v>
      </c>
      <c r="K316" s="24">
        <v>425.68592019580785</v>
      </c>
      <c r="L316" s="24">
        <v>0</v>
      </c>
    </row>
    <row r="317" spans="1:12">
      <c r="A317" s="10" t="str">
        <f t="shared" ca="1" si="12"/>
        <v/>
      </c>
      <c r="B317" s="82" t="s">
        <v>277</v>
      </c>
      <c r="C317" s="10" t="s">
        <v>1166</v>
      </c>
      <c r="D317" s="10" t="s">
        <v>46</v>
      </c>
      <c r="E317" s="83" t="s">
        <v>527</v>
      </c>
      <c r="F317" s="84">
        <v>2</v>
      </c>
      <c r="G317" s="24">
        <f t="shared" si="13"/>
        <v>425.68592019580785</v>
      </c>
      <c r="H317" s="24">
        <f t="shared" si="14"/>
        <v>0</v>
      </c>
      <c r="I317" s="24">
        <v>425.68592019580785</v>
      </c>
      <c r="J317" s="24">
        <v>0</v>
      </c>
      <c r="K317" s="24">
        <v>425.68592019580785</v>
      </c>
      <c r="L317" s="24">
        <v>0</v>
      </c>
    </row>
    <row r="318" spans="1:12">
      <c r="A318" s="10" t="str">
        <f t="shared" ca="1" si="12"/>
        <v/>
      </c>
      <c r="B318" s="82" t="s">
        <v>277</v>
      </c>
      <c r="C318" s="10" t="s">
        <v>1167</v>
      </c>
      <c r="D318" s="10" t="s">
        <v>46</v>
      </c>
      <c r="E318" s="83" t="s">
        <v>528</v>
      </c>
      <c r="F318" s="84">
        <v>2</v>
      </c>
      <c r="G318" s="24">
        <f t="shared" si="13"/>
        <v>425.68592019580785</v>
      </c>
      <c r="H318" s="24">
        <f t="shared" si="14"/>
        <v>0</v>
      </c>
      <c r="I318" s="24">
        <v>425.68592019580785</v>
      </c>
      <c r="J318" s="24">
        <v>0</v>
      </c>
      <c r="K318" s="24">
        <v>425.68592019580785</v>
      </c>
      <c r="L318" s="24">
        <v>0</v>
      </c>
    </row>
    <row r="319" spans="1:12">
      <c r="A319" s="10">
        <f t="shared" ca="1" si="12"/>
        <v>320</v>
      </c>
      <c r="B319" s="82" t="s">
        <v>281</v>
      </c>
      <c r="C319" s="10" t="s">
        <v>1168</v>
      </c>
      <c r="D319" s="10" t="s">
        <v>47</v>
      </c>
      <c r="E319" s="83" t="s">
        <v>613</v>
      </c>
      <c r="F319" s="84">
        <v>2</v>
      </c>
      <c r="G319" s="24">
        <f t="shared" si="13"/>
        <v>250.31493571601979</v>
      </c>
      <c r="H319" s="24">
        <f t="shared" si="14"/>
        <v>0</v>
      </c>
      <c r="I319" s="24">
        <v>250.31493571601979</v>
      </c>
      <c r="J319" s="24">
        <v>0</v>
      </c>
      <c r="K319" s="24">
        <v>250.31493571601979</v>
      </c>
      <c r="L319" s="24">
        <v>0</v>
      </c>
    </row>
    <row r="320" spans="1:12">
      <c r="A320" s="10" t="str">
        <f t="shared" ca="1" si="12"/>
        <v/>
      </c>
      <c r="B320" s="82" t="s">
        <v>281</v>
      </c>
      <c r="C320" s="10" t="s">
        <v>1169</v>
      </c>
      <c r="D320" s="10" t="s">
        <v>47</v>
      </c>
      <c r="E320" s="83" t="s">
        <v>614</v>
      </c>
      <c r="F320" s="84">
        <v>2</v>
      </c>
      <c r="G320" s="24">
        <f t="shared" si="13"/>
        <v>250.31493571601979</v>
      </c>
      <c r="H320" s="24">
        <f t="shared" si="14"/>
        <v>0</v>
      </c>
      <c r="I320" s="24">
        <v>250.31493571601979</v>
      </c>
      <c r="J320" s="24">
        <v>0</v>
      </c>
      <c r="K320" s="24">
        <v>250.31493571601979</v>
      </c>
      <c r="L320" s="24">
        <v>0</v>
      </c>
    </row>
    <row r="321" spans="1:12">
      <c r="A321" s="10">
        <f t="shared" ca="1" si="12"/>
        <v>321</v>
      </c>
      <c r="B321" s="82" t="s">
        <v>204</v>
      </c>
      <c r="C321" s="10" t="s">
        <v>1170</v>
      </c>
      <c r="D321" s="10" t="s">
        <v>47</v>
      </c>
      <c r="E321" s="83" t="s">
        <v>615</v>
      </c>
      <c r="F321" s="84">
        <v>2</v>
      </c>
      <c r="G321" s="24">
        <f t="shared" si="13"/>
        <v>17752.606773775784</v>
      </c>
      <c r="H321" s="24">
        <f t="shared" si="14"/>
        <v>0</v>
      </c>
      <c r="I321" s="24">
        <v>17752.606773775784</v>
      </c>
      <c r="J321" s="24">
        <v>0</v>
      </c>
      <c r="K321" s="24">
        <v>17752.606773775784</v>
      </c>
      <c r="L321" s="24">
        <v>0</v>
      </c>
    </row>
    <row r="322" spans="1:12">
      <c r="A322" s="10">
        <f t="shared" ref="A322:A385" ca="1" si="15">IF(B321=B322,"",ROW(A322)-1+MATCH(B322,INDIRECT("B"&amp;ROW(A322)&amp;":"&amp;"B"&amp;$A$1),1))</f>
        <v>326</v>
      </c>
      <c r="B322" s="82" t="s">
        <v>239</v>
      </c>
      <c r="C322" s="10" t="s">
        <v>1171</v>
      </c>
      <c r="D322" s="10" t="s">
        <v>47</v>
      </c>
      <c r="E322" s="83" t="s">
        <v>533</v>
      </c>
      <c r="F322" s="84">
        <v>1</v>
      </c>
      <c r="G322" s="24">
        <f t="shared" ref="G322:G385" si="16">IF($N$2=1,I322,K322)</f>
        <v>19.003742157746196</v>
      </c>
      <c r="H322" s="24">
        <f t="shared" ref="H322:H385" si="17">IF($N$2=1,J322,L322)</f>
        <v>0</v>
      </c>
      <c r="I322" s="24">
        <v>19.003742157746196</v>
      </c>
      <c r="J322" s="24">
        <v>0</v>
      </c>
      <c r="K322" s="24">
        <v>19.003742157746196</v>
      </c>
      <c r="L322" s="24">
        <v>0</v>
      </c>
    </row>
    <row r="323" spans="1:12">
      <c r="A323" s="10" t="str">
        <f t="shared" ca="1" si="15"/>
        <v/>
      </c>
      <c r="B323" s="82" t="s">
        <v>239</v>
      </c>
      <c r="C323" s="10" t="s">
        <v>1172</v>
      </c>
      <c r="D323" s="10" t="s">
        <v>47</v>
      </c>
      <c r="E323" s="83" t="s">
        <v>541</v>
      </c>
      <c r="F323" s="84">
        <v>1</v>
      </c>
      <c r="G323" s="24">
        <f t="shared" si="16"/>
        <v>19.003742157746196</v>
      </c>
      <c r="H323" s="24">
        <f t="shared" si="17"/>
        <v>0</v>
      </c>
      <c r="I323" s="24">
        <v>19.003742157746196</v>
      </c>
      <c r="J323" s="24">
        <v>0</v>
      </c>
      <c r="K323" s="24">
        <v>19.003742157746196</v>
      </c>
      <c r="L323" s="24">
        <v>0</v>
      </c>
    </row>
    <row r="324" spans="1:12">
      <c r="A324" s="10" t="str">
        <f t="shared" ca="1" si="15"/>
        <v/>
      </c>
      <c r="B324" s="82" t="s">
        <v>239</v>
      </c>
      <c r="C324" s="10" t="s">
        <v>1173</v>
      </c>
      <c r="D324" s="10" t="s">
        <v>47</v>
      </c>
      <c r="E324" s="83" t="s">
        <v>616</v>
      </c>
      <c r="F324" s="84">
        <v>1</v>
      </c>
      <c r="G324" s="24">
        <f t="shared" si="16"/>
        <v>23.754677697182743</v>
      </c>
      <c r="H324" s="24">
        <f t="shared" si="17"/>
        <v>0</v>
      </c>
      <c r="I324" s="24">
        <v>23.754677697182743</v>
      </c>
      <c r="J324" s="24">
        <v>0</v>
      </c>
      <c r="K324" s="24">
        <v>23.754677697182743</v>
      </c>
      <c r="L324" s="24">
        <v>0</v>
      </c>
    </row>
    <row r="325" spans="1:12">
      <c r="A325" s="10" t="str">
        <f t="shared" ca="1" si="15"/>
        <v/>
      </c>
      <c r="B325" s="82" t="s">
        <v>239</v>
      </c>
      <c r="C325" s="10" t="s">
        <v>1174</v>
      </c>
      <c r="D325" s="10" t="s">
        <v>47</v>
      </c>
      <c r="E325" s="83" t="s">
        <v>530</v>
      </c>
      <c r="F325" s="84">
        <v>1</v>
      </c>
      <c r="G325" s="24">
        <f t="shared" si="16"/>
        <v>23.754677697182743</v>
      </c>
      <c r="H325" s="24">
        <f t="shared" si="17"/>
        <v>0</v>
      </c>
      <c r="I325" s="24">
        <v>23.754677697182743</v>
      </c>
      <c r="J325" s="24">
        <v>0</v>
      </c>
      <c r="K325" s="24">
        <v>23.754677697182743</v>
      </c>
      <c r="L325" s="24">
        <v>0</v>
      </c>
    </row>
    <row r="326" spans="1:12">
      <c r="A326" s="10" t="str">
        <f t="shared" ca="1" si="15"/>
        <v/>
      </c>
      <c r="B326" s="82" t="s">
        <v>239</v>
      </c>
      <c r="C326" s="10" t="s">
        <v>1175</v>
      </c>
      <c r="D326" s="10" t="s">
        <v>47</v>
      </c>
      <c r="E326" s="83" t="s">
        <v>525</v>
      </c>
      <c r="F326" s="84">
        <v>1</v>
      </c>
      <c r="G326" s="24">
        <f t="shared" si="16"/>
        <v>9.5018710788730978</v>
      </c>
      <c r="H326" s="24">
        <f t="shared" si="17"/>
        <v>0</v>
      </c>
      <c r="I326" s="24">
        <v>9.5018710788730978</v>
      </c>
      <c r="J326" s="24">
        <v>0</v>
      </c>
      <c r="K326" s="24">
        <v>9.5018710788730978</v>
      </c>
      <c r="L326" s="24">
        <v>0</v>
      </c>
    </row>
    <row r="327" spans="1:12">
      <c r="A327" s="10">
        <f t="shared" ca="1" si="15"/>
        <v>331</v>
      </c>
      <c r="B327" s="82" t="s">
        <v>271</v>
      </c>
      <c r="C327" s="10" t="s">
        <v>1176</v>
      </c>
      <c r="D327" s="10" t="s">
        <v>47</v>
      </c>
      <c r="E327" s="83" t="s">
        <v>538</v>
      </c>
      <c r="F327" s="84">
        <v>1</v>
      </c>
      <c r="G327" s="24">
        <f t="shared" si="16"/>
        <v>1863.2025521969535</v>
      </c>
      <c r="H327" s="24">
        <f t="shared" si="17"/>
        <v>0</v>
      </c>
      <c r="I327" s="24">
        <v>1863.2025521969535</v>
      </c>
      <c r="J327" s="24">
        <v>0</v>
      </c>
      <c r="K327" s="24">
        <v>1863.2025521969535</v>
      </c>
      <c r="L327" s="24">
        <v>0</v>
      </c>
    </row>
    <row r="328" spans="1:12">
      <c r="A328" s="10" t="str">
        <f t="shared" ca="1" si="15"/>
        <v/>
      </c>
      <c r="B328" s="82" t="s">
        <v>271</v>
      </c>
      <c r="C328" s="10" t="s">
        <v>1177</v>
      </c>
      <c r="D328" s="10" t="s">
        <v>47</v>
      </c>
      <c r="E328" s="83" t="s">
        <v>513</v>
      </c>
      <c r="F328" s="84">
        <v>1</v>
      </c>
      <c r="G328" s="24">
        <f t="shared" si="16"/>
        <v>931.60127609847677</v>
      </c>
      <c r="H328" s="24">
        <f t="shared" si="17"/>
        <v>0</v>
      </c>
      <c r="I328" s="24">
        <v>931.60127609847677</v>
      </c>
      <c r="J328" s="24">
        <v>0</v>
      </c>
      <c r="K328" s="24">
        <v>931.60127609847677</v>
      </c>
      <c r="L328" s="24">
        <v>0</v>
      </c>
    </row>
    <row r="329" spans="1:12">
      <c r="A329" s="10" t="str">
        <f t="shared" ca="1" si="15"/>
        <v/>
      </c>
      <c r="B329" s="82" t="s">
        <v>271</v>
      </c>
      <c r="C329" s="10" t="s">
        <v>1178</v>
      </c>
      <c r="D329" s="10" t="s">
        <v>47</v>
      </c>
      <c r="E329" s="83" t="s">
        <v>522</v>
      </c>
      <c r="F329" s="84">
        <v>2</v>
      </c>
      <c r="G329" s="24">
        <f t="shared" si="16"/>
        <v>2794.8038282954299</v>
      </c>
      <c r="H329" s="24">
        <f t="shared" si="17"/>
        <v>0</v>
      </c>
      <c r="I329" s="24">
        <v>2794.8038282954299</v>
      </c>
      <c r="J329" s="24">
        <v>0</v>
      </c>
      <c r="K329" s="24">
        <v>2794.8038282954299</v>
      </c>
      <c r="L329" s="24">
        <v>0</v>
      </c>
    </row>
    <row r="330" spans="1:12">
      <c r="A330" s="10" t="str">
        <f t="shared" ca="1" si="15"/>
        <v/>
      </c>
      <c r="B330" s="82" t="s">
        <v>271</v>
      </c>
      <c r="C330" s="10" t="s">
        <v>1179</v>
      </c>
      <c r="D330" s="10" t="s">
        <v>47</v>
      </c>
      <c r="E330" s="83" t="s">
        <v>512</v>
      </c>
      <c r="F330" s="84">
        <v>1</v>
      </c>
      <c r="G330" s="24">
        <f t="shared" si="16"/>
        <v>2329.0031902461915</v>
      </c>
      <c r="H330" s="24">
        <f t="shared" si="17"/>
        <v>0</v>
      </c>
      <c r="I330" s="24">
        <v>2329.0031902461915</v>
      </c>
      <c r="J330" s="24">
        <v>0</v>
      </c>
      <c r="K330" s="24">
        <v>2329.0031902461915</v>
      </c>
      <c r="L330" s="24">
        <v>0</v>
      </c>
    </row>
    <row r="331" spans="1:12">
      <c r="A331" s="10" t="str">
        <f t="shared" ca="1" si="15"/>
        <v/>
      </c>
      <c r="B331" s="82" t="s">
        <v>271</v>
      </c>
      <c r="C331" s="10" t="s">
        <v>1180</v>
      </c>
      <c r="D331" s="10" t="s">
        <v>47</v>
      </c>
      <c r="E331" s="83" t="s">
        <v>523</v>
      </c>
      <c r="F331" s="84">
        <v>1</v>
      </c>
      <c r="G331" s="24">
        <f t="shared" si="16"/>
        <v>2981.1240835151257</v>
      </c>
      <c r="H331" s="24">
        <f t="shared" si="17"/>
        <v>0</v>
      </c>
      <c r="I331" s="24">
        <v>2981.1240835151257</v>
      </c>
      <c r="J331" s="24">
        <v>0</v>
      </c>
      <c r="K331" s="24">
        <v>2981.1240835151257</v>
      </c>
      <c r="L331" s="24">
        <v>0</v>
      </c>
    </row>
    <row r="332" spans="1:12">
      <c r="A332" s="10">
        <f t="shared" ca="1" si="15"/>
        <v>340</v>
      </c>
      <c r="B332" s="82" t="s">
        <v>248</v>
      </c>
      <c r="C332" s="10" t="s">
        <v>1181</v>
      </c>
      <c r="D332" s="10" t="s">
        <v>47</v>
      </c>
      <c r="E332" s="83"/>
      <c r="F332" s="84">
        <v>1</v>
      </c>
      <c r="G332" s="24">
        <f t="shared" si="16"/>
        <v>87.443975332703531</v>
      </c>
      <c r="H332" s="24">
        <f t="shared" si="17"/>
        <v>0</v>
      </c>
      <c r="I332" s="24">
        <v>87.443975332703531</v>
      </c>
      <c r="J332" s="24">
        <v>0</v>
      </c>
      <c r="K332" s="24">
        <v>87.443975332703531</v>
      </c>
      <c r="L332" s="24">
        <v>0</v>
      </c>
    </row>
    <row r="333" spans="1:12">
      <c r="A333" s="10" t="str">
        <f t="shared" ca="1" si="15"/>
        <v/>
      </c>
      <c r="B333" s="82" t="s">
        <v>248</v>
      </c>
      <c r="C333" s="10" t="s">
        <v>1182</v>
      </c>
      <c r="D333" s="10" t="s">
        <v>47</v>
      </c>
      <c r="E333" s="83" t="s">
        <v>798</v>
      </c>
      <c r="F333" s="84">
        <v>2</v>
      </c>
      <c r="G333" s="24">
        <f t="shared" si="16"/>
        <v>874.43975332703531</v>
      </c>
      <c r="H333" s="24">
        <f t="shared" si="17"/>
        <v>0</v>
      </c>
      <c r="I333" s="24">
        <v>874.43975332703531</v>
      </c>
      <c r="J333" s="24">
        <v>0</v>
      </c>
      <c r="K333" s="24">
        <v>874.43975332703531</v>
      </c>
      <c r="L333" s="24">
        <v>0</v>
      </c>
    </row>
    <row r="334" spans="1:12">
      <c r="A334" s="10" t="str">
        <f t="shared" ca="1" si="15"/>
        <v/>
      </c>
      <c r="B334" s="82" t="s">
        <v>248</v>
      </c>
      <c r="C334" s="10" t="s">
        <v>1183</v>
      </c>
      <c r="D334" s="10" t="s">
        <v>47</v>
      </c>
      <c r="E334" s="83" t="s">
        <v>513</v>
      </c>
      <c r="F334" s="84">
        <v>1</v>
      </c>
      <c r="G334" s="24">
        <f t="shared" si="16"/>
        <v>874.43975332703531</v>
      </c>
      <c r="H334" s="24">
        <f t="shared" si="17"/>
        <v>0</v>
      </c>
      <c r="I334" s="24">
        <v>874.43975332703531</v>
      </c>
      <c r="J334" s="24">
        <v>0</v>
      </c>
      <c r="K334" s="24">
        <v>874.43975332703531</v>
      </c>
      <c r="L334" s="24">
        <v>0</v>
      </c>
    </row>
    <row r="335" spans="1:12">
      <c r="A335" s="10" t="str">
        <f t="shared" ca="1" si="15"/>
        <v/>
      </c>
      <c r="B335" s="82" t="s">
        <v>248</v>
      </c>
      <c r="C335" s="10" t="s">
        <v>1184</v>
      </c>
      <c r="D335" s="10" t="s">
        <v>47</v>
      </c>
      <c r="E335" s="83" t="s">
        <v>522</v>
      </c>
      <c r="F335" s="84">
        <v>2</v>
      </c>
      <c r="G335" s="24">
        <f t="shared" si="16"/>
        <v>2186.099383317588</v>
      </c>
      <c r="H335" s="24">
        <f t="shared" si="17"/>
        <v>0</v>
      </c>
      <c r="I335" s="24">
        <v>2186.099383317588</v>
      </c>
      <c r="J335" s="24">
        <v>0</v>
      </c>
      <c r="K335" s="24">
        <v>2186.099383317588</v>
      </c>
      <c r="L335" s="24">
        <v>0</v>
      </c>
    </row>
    <row r="336" spans="1:12">
      <c r="A336" s="10" t="str">
        <f t="shared" ca="1" si="15"/>
        <v/>
      </c>
      <c r="B336" s="82" t="s">
        <v>248</v>
      </c>
      <c r="C336" s="10" t="s">
        <v>1185</v>
      </c>
      <c r="D336" s="10" t="s">
        <v>47</v>
      </c>
      <c r="E336" s="83" t="s">
        <v>617</v>
      </c>
      <c r="F336" s="84">
        <v>1</v>
      </c>
      <c r="G336" s="24">
        <f t="shared" si="16"/>
        <v>1748.8795066540706</v>
      </c>
      <c r="H336" s="24">
        <f t="shared" si="17"/>
        <v>0</v>
      </c>
      <c r="I336" s="24">
        <v>1748.8795066540706</v>
      </c>
      <c r="J336" s="24">
        <v>0</v>
      </c>
      <c r="K336" s="24">
        <v>1748.8795066540706</v>
      </c>
      <c r="L336" s="24">
        <v>0</v>
      </c>
    </row>
    <row r="337" spans="1:12">
      <c r="A337" s="10" t="str">
        <f t="shared" ca="1" si="15"/>
        <v/>
      </c>
      <c r="B337" s="82" t="s">
        <v>248</v>
      </c>
      <c r="C337" s="10" t="s">
        <v>1186</v>
      </c>
      <c r="D337" s="10" t="s">
        <v>47</v>
      </c>
      <c r="E337" s="83" t="s">
        <v>511</v>
      </c>
      <c r="F337" s="84">
        <v>1</v>
      </c>
      <c r="G337" s="24">
        <f t="shared" si="16"/>
        <v>1748.8795066540706</v>
      </c>
      <c r="H337" s="24">
        <f t="shared" si="17"/>
        <v>0</v>
      </c>
      <c r="I337" s="24">
        <v>1748.8795066540706</v>
      </c>
      <c r="J337" s="24">
        <v>0</v>
      </c>
      <c r="K337" s="24">
        <v>1748.8795066540706</v>
      </c>
      <c r="L337" s="24">
        <v>0</v>
      </c>
    </row>
    <row r="338" spans="1:12">
      <c r="A338" s="10" t="str">
        <f t="shared" ca="1" si="15"/>
        <v/>
      </c>
      <c r="B338" s="82" t="s">
        <v>248</v>
      </c>
      <c r="C338" s="10" t="s">
        <v>1187</v>
      </c>
      <c r="D338" s="10" t="s">
        <v>47</v>
      </c>
      <c r="E338" s="83" t="s">
        <v>512</v>
      </c>
      <c r="F338" s="84">
        <v>1</v>
      </c>
      <c r="G338" s="24">
        <f t="shared" si="16"/>
        <v>2186.099383317588</v>
      </c>
      <c r="H338" s="24">
        <f t="shared" si="17"/>
        <v>0</v>
      </c>
      <c r="I338" s="24">
        <v>2186.099383317588</v>
      </c>
      <c r="J338" s="24">
        <v>0</v>
      </c>
      <c r="K338" s="24">
        <v>2186.099383317588</v>
      </c>
      <c r="L338" s="24">
        <v>0</v>
      </c>
    </row>
    <row r="339" spans="1:12">
      <c r="A339" s="10" t="str">
        <f t="shared" ca="1" si="15"/>
        <v/>
      </c>
      <c r="B339" s="82" t="s">
        <v>248</v>
      </c>
      <c r="C339" s="10" t="s">
        <v>1188</v>
      </c>
      <c r="D339" s="10" t="s">
        <v>47</v>
      </c>
      <c r="E339" s="83" t="s">
        <v>536</v>
      </c>
      <c r="F339" s="84">
        <v>4</v>
      </c>
      <c r="G339" s="24">
        <f t="shared" si="16"/>
        <v>1748.8795066540706</v>
      </c>
      <c r="H339" s="24">
        <f t="shared" si="17"/>
        <v>0</v>
      </c>
      <c r="I339" s="24">
        <v>1748.8795066540706</v>
      </c>
      <c r="J339" s="24">
        <v>0</v>
      </c>
      <c r="K339" s="24">
        <v>1748.8795066540706</v>
      </c>
      <c r="L339" s="24">
        <v>0</v>
      </c>
    </row>
    <row r="340" spans="1:12">
      <c r="A340" s="10" t="str">
        <f t="shared" ca="1" si="15"/>
        <v/>
      </c>
      <c r="B340" s="82" t="s">
        <v>248</v>
      </c>
      <c r="C340" s="10" t="s">
        <v>1189</v>
      </c>
      <c r="D340" s="10" t="s">
        <v>47</v>
      </c>
      <c r="E340" s="83" t="s">
        <v>523</v>
      </c>
      <c r="F340" s="84">
        <v>2</v>
      </c>
      <c r="G340" s="24">
        <f t="shared" si="16"/>
        <v>2623.3192599811055</v>
      </c>
      <c r="H340" s="24">
        <f t="shared" si="17"/>
        <v>0</v>
      </c>
      <c r="I340" s="24">
        <v>2623.3192599811055</v>
      </c>
      <c r="J340" s="24">
        <v>0</v>
      </c>
      <c r="K340" s="24">
        <v>2623.3192599811055</v>
      </c>
      <c r="L340" s="24">
        <v>0</v>
      </c>
    </row>
    <row r="341" spans="1:12">
      <c r="A341" s="10">
        <f t="shared" ca="1" si="15"/>
        <v>355</v>
      </c>
      <c r="B341" s="82" t="s">
        <v>290</v>
      </c>
      <c r="C341" s="10" t="s">
        <v>1190</v>
      </c>
      <c r="D341" s="10" t="s">
        <v>47</v>
      </c>
      <c r="E341" s="83" t="s">
        <v>518</v>
      </c>
      <c r="F341" s="84">
        <v>1</v>
      </c>
      <c r="G341" s="24">
        <f t="shared" si="16"/>
        <v>8637.888531707762</v>
      </c>
      <c r="H341" s="24">
        <f t="shared" si="17"/>
        <v>0</v>
      </c>
      <c r="I341" s="24">
        <v>8637.888531707762</v>
      </c>
      <c r="J341" s="24">
        <v>0</v>
      </c>
      <c r="K341" s="24">
        <v>8637.888531707762</v>
      </c>
      <c r="L341" s="24">
        <v>0</v>
      </c>
    </row>
    <row r="342" spans="1:12">
      <c r="A342" s="10" t="str">
        <f t="shared" ca="1" si="15"/>
        <v/>
      </c>
      <c r="B342" s="82" t="s">
        <v>290</v>
      </c>
      <c r="C342" s="10" t="s">
        <v>1191</v>
      </c>
      <c r="D342" s="10" t="s">
        <v>47</v>
      </c>
      <c r="E342" s="83" t="s">
        <v>538</v>
      </c>
      <c r="F342" s="84">
        <v>1</v>
      </c>
      <c r="G342" s="24">
        <f t="shared" si="16"/>
        <v>3455.1554126831047</v>
      </c>
      <c r="H342" s="24">
        <f t="shared" si="17"/>
        <v>0</v>
      </c>
      <c r="I342" s="24">
        <v>3455.1554126831047</v>
      </c>
      <c r="J342" s="24">
        <v>0</v>
      </c>
      <c r="K342" s="24">
        <v>3455.1554126831047</v>
      </c>
      <c r="L342" s="24">
        <v>0</v>
      </c>
    </row>
    <row r="343" spans="1:12">
      <c r="A343" s="10" t="str">
        <f t="shared" ca="1" si="15"/>
        <v/>
      </c>
      <c r="B343" s="82" t="s">
        <v>290</v>
      </c>
      <c r="C343" s="10" t="s">
        <v>1192</v>
      </c>
      <c r="D343" s="10" t="s">
        <v>47</v>
      </c>
      <c r="E343" s="83" t="s">
        <v>534</v>
      </c>
      <c r="F343" s="84">
        <v>1</v>
      </c>
      <c r="G343" s="24">
        <f t="shared" si="16"/>
        <v>6910.3108253662094</v>
      </c>
      <c r="H343" s="24">
        <f t="shared" si="17"/>
        <v>0</v>
      </c>
      <c r="I343" s="24">
        <v>6910.3108253662094</v>
      </c>
      <c r="J343" s="24">
        <v>0</v>
      </c>
      <c r="K343" s="24">
        <v>6910.3108253662094</v>
      </c>
      <c r="L343" s="24">
        <v>0</v>
      </c>
    </row>
    <row r="344" spans="1:12">
      <c r="A344" s="10" t="str">
        <f t="shared" ca="1" si="15"/>
        <v/>
      </c>
      <c r="B344" s="82" t="s">
        <v>290</v>
      </c>
      <c r="C344" s="10" t="s">
        <v>1193</v>
      </c>
      <c r="D344" s="10" t="s">
        <v>47</v>
      </c>
      <c r="E344" s="83" t="s">
        <v>513</v>
      </c>
      <c r="F344" s="84">
        <v>1</v>
      </c>
      <c r="G344" s="24">
        <f t="shared" si="16"/>
        <v>10365.466238049314</v>
      </c>
      <c r="H344" s="24">
        <f t="shared" si="17"/>
        <v>0</v>
      </c>
      <c r="I344" s="24">
        <v>10365.466238049314</v>
      </c>
      <c r="J344" s="24">
        <v>0</v>
      </c>
      <c r="K344" s="24">
        <v>10365.466238049314</v>
      </c>
      <c r="L344" s="24">
        <v>0</v>
      </c>
    </row>
    <row r="345" spans="1:12">
      <c r="A345" s="10" t="str">
        <f t="shared" ca="1" si="15"/>
        <v/>
      </c>
      <c r="B345" s="82" t="s">
        <v>290</v>
      </c>
      <c r="C345" s="10" t="s">
        <v>1194</v>
      </c>
      <c r="D345" s="10" t="s">
        <v>47</v>
      </c>
      <c r="E345" s="83" t="s">
        <v>618</v>
      </c>
      <c r="F345" s="84">
        <v>2</v>
      </c>
      <c r="G345" s="24">
        <f t="shared" si="16"/>
        <v>5182.7331190246568</v>
      </c>
      <c r="H345" s="24">
        <f t="shared" si="17"/>
        <v>0</v>
      </c>
      <c r="I345" s="24">
        <v>5182.7331190246568</v>
      </c>
      <c r="J345" s="24">
        <v>0</v>
      </c>
      <c r="K345" s="24">
        <v>5182.7331190246568</v>
      </c>
      <c r="L345" s="24">
        <v>0</v>
      </c>
    </row>
    <row r="346" spans="1:12">
      <c r="A346" s="10" t="str">
        <f t="shared" ca="1" si="15"/>
        <v/>
      </c>
      <c r="B346" s="82" t="s">
        <v>290</v>
      </c>
      <c r="C346" s="10" t="s">
        <v>1195</v>
      </c>
      <c r="D346" s="10" t="s">
        <v>47</v>
      </c>
      <c r="E346" s="83" t="s">
        <v>522</v>
      </c>
      <c r="F346" s="84">
        <v>2</v>
      </c>
      <c r="G346" s="24">
        <f t="shared" si="16"/>
        <v>3455.1554126831047</v>
      </c>
      <c r="H346" s="24">
        <f t="shared" si="17"/>
        <v>0</v>
      </c>
      <c r="I346" s="24">
        <v>3455.1554126831047</v>
      </c>
      <c r="J346" s="24">
        <v>0</v>
      </c>
      <c r="K346" s="24">
        <v>3455.1554126831047</v>
      </c>
      <c r="L346" s="24">
        <v>0</v>
      </c>
    </row>
    <row r="347" spans="1:12">
      <c r="A347" s="10" t="str">
        <f t="shared" ca="1" si="15"/>
        <v/>
      </c>
      <c r="B347" s="82" t="s">
        <v>290</v>
      </c>
      <c r="C347" s="10" t="s">
        <v>1196</v>
      </c>
      <c r="D347" s="10" t="s">
        <v>47</v>
      </c>
      <c r="E347" s="83" t="s">
        <v>511</v>
      </c>
      <c r="F347" s="84">
        <v>1</v>
      </c>
      <c r="G347" s="24">
        <f t="shared" si="16"/>
        <v>17275.777063415524</v>
      </c>
      <c r="H347" s="24">
        <f t="shared" si="17"/>
        <v>0</v>
      </c>
      <c r="I347" s="24">
        <v>17275.777063415524</v>
      </c>
      <c r="J347" s="24">
        <v>0</v>
      </c>
      <c r="K347" s="24">
        <v>17275.777063415524</v>
      </c>
      <c r="L347" s="24">
        <v>0</v>
      </c>
    </row>
    <row r="348" spans="1:12">
      <c r="A348" s="10" t="str">
        <f t="shared" ca="1" si="15"/>
        <v/>
      </c>
      <c r="B348" s="82" t="s">
        <v>290</v>
      </c>
      <c r="C348" s="10" t="s">
        <v>1197</v>
      </c>
      <c r="D348" s="10" t="s">
        <v>47</v>
      </c>
      <c r="E348" s="83" t="s">
        <v>512</v>
      </c>
      <c r="F348" s="84">
        <v>1</v>
      </c>
      <c r="G348" s="24">
        <f t="shared" si="16"/>
        <v>10365.466238049314</v>
      </c>
      <c r="H348" s="24">
        <f t="shared" si="17"/>
        <v>0</v>
      </c>
      <c r="I348" s="24">
        <v>10365.466238049314</v>
      </c>
      <c r="J348" s="24">
        <v>0</v>
      </c>
      <c r="K348" s="24">
        <v>10365.466238049314</v>
      </c>
      <c r="L348" s="24">
        <v>0</v>
      </c>
    </row>
    <row r="349" spans="1:12">
      <c r="A349" s="10" t="str">
        <f t="shared" ca="1" si="15"/>
        <v/>
      </c>
      <c r="B349" s="82" t="s">
        <v>290</v>
      </c>
      <c r="C349" s="10" t="s">
        <v>1198</v>
      </c>
      <c r="D349" s="10" t="s">
        <v>47</v>
      </c>
      <c r="E349" s="83" t="s">
        <v>523</v>
      </c>
      <c r="F349" s="84">
        <v>2</v>
      </c>
      <c r="G349" s="24">
        <f t="shared" si="16"/>
        <v>3455.1554126831047</v>
      </c>
      <c r="H349" s="24">
        <f t="shared" si="17"/>
        <v>0</v>
      </c>
      <c r="I349" s="24">
        <v>3455.1554126831047</v>
      </c>
      <c r="J349" s="24">
        <v>0</v>
      </c>
      <c r="K349" s="24">
        <v>3455.1554126831047</v>
      </c>
      <c r="L349" s="24">
        <v>0</v>
      </c>
    </row>
    <row r="350" spans="1:12">
      <c r="A350" s="10" t="str">
        <f t="shared" ca="1" si="15"/>
        <v/>
      </c>
      <c r="B350" s="82" t="s">
        <v>290</v>
      </c>
      <c r="C350" s="10" t="s">
        <v>1199</v>
      </c>
      <c r="D350" s="10" t="s">
        <v>47</v>
      </c>
      <c r="E350" s="83" t="s">
        <v>524</v>
      </c>
      <c r="F350" s="84">
        <v>2</v>
      </c>
      <c r="G350" s="24">
        <f t="shared" si="16"/>
        <v>3455.1554126831047</v>
      </c>
      <c r="H350" s="24">
        <f t="shared" si="17"/>
        <v>0</v>
      </c>
      <c r="I350" s="24">
        <v>3455.1554126831047</v>
      </c>
      <c r="J350" s="24">
        <v>0</v>
      </c>
      <c r="K350" s="24">
        <v>3455.1554126831047</v>
      </c>
      <c r="L350" s="24">
        <v>0</v>
      </c>
    </row>
    <row r="351" spans="1:12">
      <c r="A351" s="10" t="str">
        <f t="shared" ca="1" si="15"/>
        <v/>
      </c>
      <c r="B351" s="82" t="s">
        <v>290</v>
      </c>
      <c r="C351" s="10" t="s">
        <v>1200</v>
      </c>
      <c r="D351" s="10" t="s">
        <v>47</v>
      </c>
      <c r="E351" s="83" t="s">
        <v>619</v>
      </c>
      <c r="F351" s="84">
        <v>1</v>
      </c>
      <c r="G351" s="24">
        <f t="shared" si="16"/>
        <v>3455.1554126831047</v>
      </c>
      <c r="H351" s="24">
        <f t="shared" si="17"/>
        <v>0</v>
      </c>
      <c r="I351" s="24">
        <v>3455.1554126831047</v>
      </c>
      <c r="J351" s="24">
        <v>0</v>
      </c>
      <c r="K351" s="24">
        <v>3455.1554126831047</v>
      </c>
      <c r="L351" s="24">
        <v>0</v>
      </c>
    </row>
    <row r="352" spans="1:12">
      <c r="A352" s="10" t="str">
        <f t="shared" ca="1" si="15"/>
        <v/>
      </c>
      <c r="B352" s="82" t="s">
        <v>290</v>
      </c>
      <c r="C352" s="10" t="s">
        <v>1201</v>
      </c>
      <c r="D352" s="10" t="s">
        <v>47</v>
      </c>
      <c r="E352" s="83" t="s">
        <v>620</v>
      </c>
      <c r="F352" s="84">
        <v>4</v>
      </c>
      <c r="G352" s="24">
        <f t="shared" si="16"/>
        <v>3455.1554126831047</v>
      </c>
      <c r="H352" s="24">
        <f t="shared" si="17"/>
        <v>0</v>
      </c>
      <c r="I352" s="24">
        <v>3455.1554126831047</v>
      </c>
      <c r="J352" s="24">
        <v>0</v>
      </c>
      <c r="K352" s="24">
        <v>3455.1554126831047</v>
      </c>
      <c r="L352" s="24">
        <v>0</v>
      </c>
    </row>
    <row r="353" spans="1:12">
      <c r="A353" s="10" t="str">
        <f t="shared" ca="1" si="15"/>
        <v/>
      </c>
      <c r="B353" s="82" t="s">
        <v>290</v>
      </c>
      <c r="C353" s="10" t="s">
        <v>1202</v>
      </c>
      <c r="D353" s="10" t="s">
        <v>47</v>
      </c>
      <c r="E353" s="83" t="s">
        <v>515</v>
      </c>
      <c r="F353" s="84">
        <v>1</v>
      </c>
      <c r="G353" s="24">
        <f t="shared" si="16"/>
        <v>3455.1554126831047</v>
      </c>
      <c r="H353" s="24">
        <f t="shared" si="17"/>
        <v>0</v>
      </c>
      <c r="I353" s="24">
        <v>3455.1554126831047</v>
      </c>
      <c r="J353" s="24">
        <v>0</v>
      </c>
      <c r="K353" s="24">
        <v>3455.1554126831047</v>
      </c>
      <c r="L353" s="24">
        <v>0</v>
      </c>
    </row>
    <row r="354" spans="1:12">
      <c r="A354" s="10" t="str">
        <f t="shared" ca="1" si="15"/>
        <v/>
      </c>
      <c r="B354" s="82" t="s">
        <v>290</v>
      </c>
      <c r="C354" s="10" t="s">
        <v>1203</v>
      </c>
      <c r="D354" s="10" t="s">
        <v>47</v>
      </c>
      <c r="E354" s="83" t="s">
        <v>527</v>
      </c>
      <c r="F354" s="84">
        <v>2</v>
      </c>
      <c r="G354" s="24">
        <f t="shared" si="16"/>
        <v>5182.7331190246568</v>
      </c>
      <c r="H354" s="24">
        <f t="shared" si="17"/>
        <v>0</v>
      </c>
      <c r="I354" s="24">
        <v>5182.7331190246568</v>
      </c>
      <c r="J354" s="24">
        <v>0</v>
      </c>
      <c r="K354" s="24">
        <v>5182.7331190246568</v>
      </c>
      <c r="L354" s="24">
        <v>0</v>
      </c>
    </row>
    <row r="355" spans="1:12">
      <c r="A355" s="10" t="str">
        <f t="shared" ca="1" si="15"/>
        <v/>
      </c>
      <c r="B355" s="82" t="s">
        <v>290</v>
      </c>
      <c r="C355" s="10" t="s">
        <v>1204</v>
      </c>
      <c r="D355" s="10" t="s">
        <v>47</v>
      </c>
      <c r="E355" s="83" t="s">
        <v>528</v>
      </c>
      <c r="F355" s="84">
        <v>2</v>
      </c>
      <c r="G355" s="24">
        <f t="shared" si="16"/>
        <v>3455.1554126831047</v>
      </c>
      <c r="H355" s="24">
        <f t="shared" si="17"/>
        <v>0</v>
      </c>
      <c r="I355" s="24">
        <v>3455.1554126831047</v>
      </c>
      <c r="J355" s="24">
        <v>0</v>
      </c>
      <c r="K355" s="24">
        <v>3455.1554126831047</v>
      </c>
      <c r="L355" s="24">
        <v>0</v>
      </c>
    </row>
    <row r="356" spans="1:12">
      <c r="A356" s="10">
        <f t="shared" ca="1" si="15"/>
        <v>359</v>
      </c>
      <c r="B356" s="82" t="s">
        <v>259</v>
      </c>
      <c r="C356" s="10" t="s">
        <v>1205</v>
      </c>
      <c r="D356" s="10" t="s">
        <v>47</v>
      </c>
      <c r="E356" s="83"/>
      <c r="F356" s="84">
        <v>1</v>
      </c>
      <c r="G356" s="24">
        <f t="shared" si="16"/>
        <v>9.9104578834094958</v>
      </c>
      <c r="H356" s="24">
        <f t="shared" si="17"/>
        <v>0</v>
      </c>
      <c r="I356" s="24">
        <v>9.9104578834094958</v>
      </c>
      <c r="J356" s="24">
        <v>0</v>
      </c>
      <c r="K356" s="24">
        <v>9.9104578834094958</v>
      </c>
      <c r="L356" s="24">
        <v>0</v>
      </c>
    </row>
    <row r="357" spans="1:12">
      <c r="A357" s="10" t="str">
        <f t="shared" ca="1" si="15"/>
        <v/>
      </c>
      <c r="B357" s="82" t="s">
        <v>259</v>
      </c>
      <c r="C357" s="10" t="s">
        <v>1206</v>
      </c>
      <c r="D357" s="10" t="s">
        <v>47</v>
      </c>
      <c r="E357" s="83" t="s">
        <v>511</v>
      </c>
      <c r="F357" s="84">
        <v>1</v>
      </c>
      <c r="G357" s="24">
        <f t="shared" si="16"/>
        <v>297.31373650228488</v>
      </c>
      <c r="H357" s="24">
        <f t="shared" si="17"/>
        <v>0</v>
      </c>
      <c r="I357" s="24">
        <v>297.31373650228488</v>
      </c>
      <c r="J357" s="24">
        <v>0</v>
      </c>
      <c r="K357" s="24">
        <v>297.31373650228488</v>
      </c>
      <c r="L357" s="24">
        <v>0</v>
      </c>
    </row>
    <row r="358" spans="1:12">
      <c r="A358" s="10" t="str">
        <f t="shared" ca="1" si="15"/>
        <v/>
      </c>
      <c r="B358" s="82" t="s">
        <v>259</v>
      </c>
      <c r="C358" s="10" t="s">
        <v>1207</v>
      </c>
      <c r="D358" s="10" t="s">
        <v>47</v>
      </c>
      <c r="E358" s="83" t="s">
        <v>536</v>
      </c>
      <c r="F358" s="84">
        <v>4</v>
      </c>
      <c r="G358" s="24">
        <f t="shared" si="16"/>
        <v>247.76144708523742</v>
      </c>
      <c r="H358" s="24">
        <f t="shared" si="17"/>
        <v>0</v>
      </c>
      <c r="I358" s="24">
        <v>247.76144708523742</v>
      </c>
      <c r="J358" s="24">
        <v>0</v>
      </c>
      <c r="K358" s="24">
        <v>247.76144708523742</v>
      </c>
      <c r="L358" s="24">
        <v>0</v>
      </c>
    </row>
    <row r="359" spans="1:12">
      <c r="A359" s="10" t="str">
        <f t="shared" ca="1" si="15"/>
        <v/>
      </c>
      <c r="B359" s="82" t="s">
        <v>259</v>
      </c>
      <c r="C359" s="10" t="s">
        <v>1208</v>
      </c>
      <c r="D359" s="10" t="s">
        <v>47</v>
      </c>
      <c r="E359" s="83" t="s">
        <v>523</v>
      </c>
      <c r="F359" s="84">
        <v>2</v>
      </c>
      <c r="G359" s="24">
        <f t="shared" si="16"/>
        <v>247.76144708523742</v>
      </c>
      <c r="H359" s="24">
        <f t="shared" si="17"/>
        <v>0</v>
      </c>
      <c r="I359" s="24">
        <v>247.76144708523742</v>
      </c>
      <c r="J359" s="24">
        <v>0</v>
      </c>
      <c r="K359" s="24">
        <v>247.76144708523742</v>
      </c>
      <c r="L359" s="24">
        <v>0</v>
      </c>
    </row>
    <row r="360" spans="1:12">
      <c r="A360" s="10">
        <f t="shared" ca="1" si="15"/>
        <v>362</v>
      </c>
      <c r="B360" s="82" t="s">
        <v>292</v>
      </c>
      <c r="C360" s="10" t="s">
        <v>1209</v>
      </c>
      <c r="D360" s="10" t="s">
        <v>47</v>
      </c>
      <c r="E360" s="83" t="s">
        <v>619</v>
      </c>
      <c r="F360" s="84">
        <v>1</v>
      </c>
      <c r="G360" s="24">
        <f t="shared" si="16"/>
        <v>1370.5293986567015</v>
      </c>
      <c r="H360" s="24">
        <f t="shared" si="17"/>
        <v>0</v>
      </c>
      <c r="I360" s="24">
        <v>1370.5293986567015</v>
      </c>
      <c r="J360" s="24">
        <v>0</v>
      </c>
      <c r="K360" s="24">
        <v>1370.5293986567015</v>
      </c>
      <c r="L360" s="24">
        <v>0</v>
      </c>
    </row>
    <row r="361" spans="1:12">
      <c r="A361" s="10" t="str">
        <f t="shared" ca="1" si="15"/>
        <v/>
      </c>
      <c r="B361" s="82" t="s">
        <v>292</v>
      </c>
      <c r="C361" s="10" t="s">
        <v>1210</v>
      </c>
      <c r="D361" s="10" t="s">
        <v>47</v>
      </c>
      <c r="E361" s="83" t="s">
        <v>525</v>
      </c>
      <c r="F361" s="84">
        <v>1</v>
      </c>
      <c r="G361" s="24">
        <f t="shared" si="16"/>
        <v>4568.4313288556714</v>
      </c>
      <c r="H361" s="24">
        <f t="shared" si="17"/>
        <v>0</v>
      </c>
      <c r="I361" s="24">
        <v>4568.4313288556714</v>
      </c>
      <c r="J361" s="24">
        <v>0</v>
      </c>
      <c r="K361" s="24">
        <v>4568.4313288556714</v>
      </c>
      <c r="L361" s="24">
        <v>0</v>
      </c>
    </row>
    <row r="362" spans="1:12">
      <c r="A362" s="10" t="str">
        <f t="shared" ca="1" si="15"/>
        <v/>
      </c>
      <c r="B362" s="82" t="s">
        <v>292</v>
      </c>
      <c r="C362" s="10" t="s">
        <v>1211</v>
      </c>
      <c r="D362" s="10" t="s">
        <v>47</v>
      </c>
      <c r="E362" s="83" t="s">
        <v>621</v>
      </c>
      <c r="F362" s="84">
        <v>3</v>
      </c>
      <c r="G362" s="24">
        <f t="shared" si="16"/>
        <v>1370.5293986567015</v>
      </c>
      <c r="H362" s="24">
        <f t="shared" si="17"/>
        <v>0</v>
      </c>
      <c r="I362" s="24">
        <v>1370.5293986567015</v>
      </c>
      <c r="J362" s="24">
        <v>0</v>
      </c>
      <c r="K362" s="24">
        <v>1370.5293986567015</v>
      </c>
      <c r="L362" s="24">
        <v>0</v>
      </c>
    </row>
    <row r="363" spans="1:12">
      <c r="A363" s="10">
        <f t="shared" ca="1" si="15"/>
        <v>366</v>
      </c>
      <c r="B363" s="82" t="s">
        <v>291</v>
      </c>
      <c r="C363" s="10" t="s">
        <v>1212</v>
      </c>
      <c r="D363" s="10" t="s">
        <v>47</v>
      </c>
      <c r="E363" s="83" t="s">
        <v>596</v>
      </c>
      <c r="F363" s="84">
        <v>1</v>
      </c>
      <c r="G363" s="24">
        <f t="shared" si="16"/>
        <v>1243.3751275974776</v>
      </c>
      <c r="H363" s="24">
        <f t="shared" si="17"/>
        <v>0</v>
      </c>
      <c r="I363" s="24">
        <v>1243.3751275974776</v>
      </c>
      <c r="J363" s="24">
        <v>0</v>
      </c>
      <c r="K363" s="24">
        <v>1243.3751275974776</v>
      </c>
      <c r="L363" s="24">
        <v>0</v>
      </c>
    </row>
    <row r="364" spans="1:12">
      <c r="A364" s="10" t="str">
        <f t="shared" ca="1" si="15"/>
        <v/>
      </c>
      <c r="B364" s="82" t="s">
        <v>291</v>
      </c>
      <c r="C364" s="10" t="s">
        <v>1213</v>
      </c>
      <c r="D364" s="10" t="s">
        <v>47</v>
      </c>
      <c r="E364" s="83" t="s">
        <v>622</v>
      </c>
      <c r="F364" s="84">
        <v>2</v>
      </c>
      <c r="G364" s="24">
        <f t="shared" si="16"/>
        <v>1243.3751275974776</v>
      </c>
      <c r="H364" s="24">
        <f t="shared" si="17"/>
        <v>0</v>
      </c>
      <c r="I364" s="24">
        <v>1243.3751275974776</v>
      </c>
      <c r="J364" s="24">
        <v>0</v>
      </c>
      <c r="K364" s="24">
        <v>1243.3751275974776</v>
      </c>
      <c r="L364" s="24">
        <v>0</v>
      </c>
    </row>
    <row r="365" spans="1:12">
      <c r="A365" s="10" t="str">
        <f t="shared" ca="1" si="15"/>
        <v/>
      </c>
      <c r="B365" s="82" t="s">
        <v>291</v>
      </c>
      <c r="C365" s="10" t="s">
        <v>1214</v>
      </c>
      <c r="D365" s="10" t="s">
        <v>47</v>
      </c>
      <c r="E365" s="83" t="s">
        <v>525</v>
      </c>
      <c r="F365" s="84">
        <v>1</v>
      </c>
      <c r="G365" s="24">
        <f t="shared" si="16"/>
        <v>1243.3751275974776</v>
      </c>
      <c r="H365" s="24">
        <f t="shared" si="17"/>
        <v>0</v>
      </c>
      <c r="I365" s="24">
        <v>1243.3751275974776</v>
      </c>
      <c r="J365" s="24">
        <v>0</v>
      </c>
      <c r="K365" s="24">
        <v>1243.3751275974776</v>
      </c>
      <c r="L365" s="24">
        <v>0</v>
      </c>
    </row>
    <row r="366" spans="1:12">
      <c r="A366" s="10" t="str">
        <f t="shared" ca="1" si="15"/>
        <v/>
      </c>
      <c r="B366" s="82" t="s">
        <v>291</v>
      </c>
      <c r="C366" s="10" t="s">
        <v>1215</v>
      </c>
      <c r="D366" s="10" t="s">
        <v>47</v>
      </c>
      <c r="E366" s="83" t="s">
        <v>515</v>
      </c>
      <c r="F366" s="84">
        <v>1</v>
      </c>
      <c r="G366" s="24">
        <f t="shared" si="16"/>
        <v>1243.3751275974776</v>
      </c>
      <c r="H366" s="24">
        <f t="shared" si="17"/>
        <v>0</v>
      </c>
      <c r="I366" s="24">
        <v>1243.3751275974776</v>
      </c>
      <c r="J366" s="24">
        <v>0</v>
      </c>
      <c r="K366" s="24">
        <v>1243.3751275974776</v>
      </c>
      <c r="L366" s="24">
        <v>0</v>
      </c>
    </row>
    <row r="367" spans="1:12">
      <c r="A367" s="10">
        <f t="shared" ca="1" si="15"/>
        <v>371</v>
      </c>
      <c r="B367" s="82" t="s">
        <v>295</v>
      </c>
      <c r="C367" s="10" t="s">
        <v>1216</v>
      </c>
      <c r="D367" s="10" t="s">
        <v>47</v>
      </c>
      <c r="E367" s="83" t="s">
        <v>522</v>
      </c>
      <c r="F367" s="84">
        <v>2</v>
      </c>
      <c r="G367" s="24">
        <f t="shared" si="16"/>
        <v>39.465065474852153</v>
      </c>
      <c r="H367" s="24">
        <f t="shared" si="17"/>
        <v>0</v>
      </c>
      <c r="I367" s="24">
        <v>39.465065474852153</v>
      </c>
      <c r="J367" s="24">
        <v>0</v>
      </c>
      <c r="K367" s="24">
        <v>39.465065474852153</v>
      </c>
      <c r="L367" s="24">
        <v>0</v>
      </c>
    </row>
    <row r="368" spans="1:12">
      <c r="A368" s="10" t="str">
        <f t="shared" ca="1" si="15"/>
        <v/>
      </c>
      <c r="B368" s="82" t="s">
        <v>295</v>
      </c>
      <c r="C368" s="10" t="s">
        <v>1217</v>
      </c>
      <c r="D368" s="10" t="s">
        <v>47</v>
      </c>
      <c r="E368" s="83" t="s">
        <v>523</v>
      </c>
      <c r="F368" s="84">
        <v>2</v>
      </c>
      <c r="G368" s="24">
        <f t="shared" si="16"/>
        <v>236.79039284911289</v>
      </c>
      <c r="H368" s="24">
        <f t="shared" si="17"/>
        <v>0</v>
      </c>
      <c r="I368" s="24">
        <v>236.79039284911289</v>
      </c>
      <c r="J368" s="24">
        <v>0</v>
      </c>
      <c r="K368" s="24">
        <v>236.79039284911289</v>
      </c>
      <c r="L368" s="24">
        <v>0</v>
      </c>
    </row>
    <row r="369" spans="1:12">
      <c r="A369" s="10" t="str">
        <f t="shared" ca="1" si="15"/>
        <v/>
      </c>
      <c r="B369" s="82" t="s">
        <v>295</v>
      </c>
      <c r="C369" s="10" t="s">
        <v>1218</v>
      </c>
      <c r="D369" s="10" t="s">
        <v>47</v>
      </c>
      <c r="E369" s="83" t="s">
        <v>524</v>
      </c>
      <c r="F369" s="84">
        <v>2</v>
      </c>
      <c r="G369" s="24">
        <f t="shared" si="16"/>
        <v>39.465065474852153</v>
      </c>
      <c r="H369" s="24">
        <f t="shared" si="17"/>
        <v>0</v>
      </c>
      <c r="I369" s="24">
        <v>39.465065474852153</v>
      </c>
      <c r="J369" s="24">
        <v>0</v>
      </c>
      <c r="K369" s="24">
        <v>39.465065474852153</v>
      </c>
      <c r="L369" s="24">
        <v>0</v>
      </c>
    </row>
    <row r="370" spans="1:12">
      <c r="A370" s="10" t="str">
        <f t="shared" ca="1" si="15"/>
        <v/>
      </c>
      <c r="B370" s="82" t="s">
        <v>295</v>
      </c>
      <c r="C370" s="10" t="s">
        <v>1219</v>
      </c>
      <c r="D370" s="10" t="s">
        <v>47</v>
      </c>
      <c r="E370" s="83" t="s">
        <v>623</v>
      </c>
      <c r="F370" s="84">
        <v>2</v>
      </c>
      <c r="G370" s="24">
        <f t="shared" si="16"/>
        <v>59.197598212278223</v>
      </c>
      <c r="H370" s="24">
        <f t="shared" si="17"/>
        <v>0</v>
      </c>
      <c r="I370" s="24">
        <v>59.197598212278223</v>
      </c>
      <c r="J370" s="24">
        <v>0</v>
      </c>
      <c r="K370" s="24">
        <v>59.197598212278223</v>
      </c>
      <c r="L370" s="24">
        <v>0</v>
      </c>
    </row>
    <row r="371" spans="1:12">
      <c r="A371" s="10" t="str">
        <f t="shared" ca="1" si="15"/>
        <v/>
      </c>
      <c r="B371" s="82" t="s">
        <v>295</v>
      </c>
      <c r="C371" s="10" t="s">
        <v>1220</v>
      </c>
      <c r="D371" s="10" t="s">
        <v>47</v>
      </c>
      <c r="E371" s="83" t="s">
        <v>528</v>
      </c>
      <c r="F371" s="84">
        <v>2</v>
      </c>
      <c r="G371" s="24">
        <f t="shared" si="16"/>
        <v>39.465065474852153</v>
      </c>
      <c r="H371" s="24">
        <f t="shared" si="17"/>
        <v>0</v>
      </c>
      <c r="I371" s="24">
        <v>39.465065474852153</v>
      </c>
      <c r="J371" s="24">
        <v>0</v>
      </c>
      <c r="K371" s="24">
        <v>39.465065474852153</v>
      </c>
      <c r="L371" s="24">
        <v>0</v>
      </c>
    </row>
    <row r="372" spans="1:12">
      <c r="A372" s="10">
        <f t="shared" ca="1" si="15"/>
        <v>373</v>
      </c>
      <c r="B372" s="82" t="s">
        <v>296</v>
      </c>
      <c r="C372" s="10" t="s">
        <v>1221</v>
      </c>
      <c r="D372" s="10" t="s">
        <v>47</v>
      </c>
      <c r="E372" s="83" t="s">
        <v>522</v>
      </c>
      <c r="F372" s="84">
        <v>2</v>
      </c>
      <c r="G372" s="24">
        <f t="shared" si="16"/>
        <v>193.29394579760833</v>
      </c>
      <c r="H372" s="24">
        <f t="shared" si="17"/>
        <v>0</v>
      </c>
      <c r="I372" s="24">
        <v>193.29394579760833</v>
      </c>
      <c r="J372" s="24">
        <v>0</v>
      </c>
      <c r="K372" s="24">
        <v>193.29394579760833</v>
      </c>
      <c r="L372" s="24">
        <v>0</v>
      </c>
    </row>
    <row r="373" spans="1:12">
      <c r="A373" s="10" t="str">
        <f t="shared" ca="1" si="15"/>
        <v/>
      </c>
      <c r="B373" s="82" t="s">
        <v>296</v>
      </c>
      <c r="C373" s="10" t="s">
        <v>1222</v>
      </c>
      <c r="D373" s="10" t="s">
        <v>47</v>
      </c>
      <c r="E373" s="83" t="s">
        <v>523</v>
      </c>
      <c r="F373" s="84">
        <v>2</v>
      </c>
      <c r="G373" s="24">
        <f t="shared" si="16"/>
        <v>579.88183739282499</v>
      </c>
      <c r="H373" s="24">
        <f t="shared" si="17"/>
        <v>0</v>
      </c>
      <c r="I373" s="24">
        <v>579.88183739282499</v>
      </c>
      <c r="J373" s="24">
        <v>0</v>
      </c>
      <c r="K373" s="24">
        <v>579.88183739282499</v>
      </c>
      <c r="L373" s="24">
        <v>0</v>
      </c>
    </row>
    <row r="374" spans="1:12">
      <c r="A374" s="10">
        <f t="shared" ca="1" si="15"/>
        <v>375</v>
      </c>
      <c r="B374" s="82" t="s">
        <v>297</v>
      </c>
      <c r="C374" s="10" t="s">
        <v>1223</v>
      </c>
      <c r="D374" s="10" t="s">
        <v>47</v>
      </c>
      <c r="E374" s="83" t="s">
        <v>522</v>
      </c>
      <c r="F374" s="84">
        <v>2</v>
      </c>
      <c r="G374" s="24">
        <f t="shared" si="16"/>
        <v>70.100079529247139</v>
      </c>
      <c r="H374" s="24">
        <f t="shared" si="17"/>
        <v>0</v>
      </c>
      <c r="I374" s="24">
        <v>70.100079529247139</v>
      </c>
      <c r="J374" s="24">
        <v>0</v>
      </c>
      <c r="K374" s="24">
        <v>70.100079529247139</v>
      </c>
      <c r="L374" s="24">
        <v>0</v>
      </c>
    </row>
    <row r="375" spans="1:12">
      <c r="A375" s="10" t="str">
        <f t="shared" ca="1" si="15"/>
        <v/>
      </c>
      <c r="B375" s="82" t="s">
        <v>297</v>
      </c>
      <c r="C375" s="10" t="s">
        <v>1224</v>
      </c>
      <c r="D375" s="10" t="s">
        <v>47</v>
      </c>
      <c r="E375" s="83" t="s">
        <v>523</v>
      </c>
      <c r="F375" s="84">
        <v>2</v>
      </c>
      <c r="G375" s="24">
        <f t="shared" si="16"/>
        <v>186.9335454113257</v>
      </c>
      <c r="H375" s="24">
        <f t="shared" si="17"/>
        <v>0</v>
      </c>
      <c r="I375" s="24">
        <v>186.9335454113257</v>
      </c>
      <c r="J375" s="24">
        <v>0</v>
      </c>
      <c r="K375" s="24">
        <v>186.9335454113257</v>
      </c>
      <c r="L375" s="24">
        <v>0</v>
      </c>
    </row>
    <row r="376" spans="1:12">
      <c r="A376" s="10">
        <f t="shared" ca="1" si="15"/>
        <v>382</v>
      </c>
      <c r="B376" s="82" t="s">
        <v>294</v>
      </c>
      <c r="C376" s="10" t="s">
        <v>1225</v>
      </c>
      <c r="D376" s="10" t="s">
        <v>47</v>
      </c>
      <c r="E376" s="83"/>
      <c r="F376" s="84">
        <v>1</v>
      </c>
      <c r="G376" s="24">
        <f t="shared" si="16"/>
        <v>62.707142412014676</v>
      </c>
      <c r="H376" s="24">
        <f t="shared" si="17"/>
        <v>0</v>
      </c>
      <c r="I376" s="24">
        <v>62.707142412014676</v>
      </c>
      <c r="J376" s="24">
        <v>0</v>
      </c>
      <c r="K376" s="24">
        <v>62.707142412014676</v>
      </c>
      <c r="L376" s="24">
        <v>0</v>
      </c>
    </row>
    <row r="377" spans="1:12">
      <c r="A377" s="10" t="str">
        <f t="shared" ca="1" si="15"/>
        <v/>
      </c>
      <c r="B377" s="82" t="s">
        <v>294</v>
      </c>
      <c r="C377" s="10" t="s">
        <v>1226</v>
      </c>
      <c r="D377" s="10" t="s">
        <v>47</v>
      </c>
      <c r="E377" s="83" t="s">
        <v>533</v>
      </c>
      <c r="F377" s="84">
        <v>1</v>
      </c>
      <c r="G377" s="24">
        <f t="shared" si="16"/>
        <v>627.07142412014684</v>
      </c>
      <c r="H377" s="24">
        <f t="shared" si="17"/>
        <v>0</v>
      </c>
      <c r="I377" s="24">
        <v>627.07142412014684</v>
      </c>
      <c r="J377" s="24">
        <v>0</v>
      </c>
      <c r="K377" s="24">
        <v>627.07142412014684</v>
      </c>
      <c r="L377" s="24">
        <v>0</v>
      </c>
    </row>
    <row r="378" spans="1:12">
      <c r="A378" s="10" t="str">
        <f t="shared" ca="1" si="15"/>
        <v/>
      </c>
      <c r="B378" s="82" t="s">
        <v>294</v>
      </c>
      <c r="C378" s="10" t="s">
        <v>1227</v>
      </c>
      <c r="D378" s="10" t="s">
        <v>47</v>
      </c>
      <c r="E378" s="83" t="s">
        <v>529</v>
      </c>
      <c r="F378" s="84">
        <v>1</v>
      </c>
      <c r="G378" s="24">
        <f t="shared" si="16"/>
        <v>627.07142412014684</v>
      </c>
      <c r="H378" s="24">
        <f t="shared" si="17"/>
        <v>0</v>
      </c>
      <c r="I378" s="24">
        <v>627.07142412014684</v>
      </c>
      <c r="J378" s="24">
        <v>0</v>
      </c>
      <c r="K378" s="24">
        <v>627.07142412014684</v>
      </c>
      <c r="L378" s="24">
        <v>0</v>
      </c>
    </row>
    <row r="379" spans="1:12">
      <c r="A379" s="10" t="str">
        <f t="shared" ca="1" si="15"/>
        <v/>
      </c>
      <c r="B379" s="82" t="s">
        <v>294</v>
      </c>
      <c r="C379" s="10" t="s">
        <v>1228</v>
      </c>
      <c r="D379" s="10" t="s">
        <v>47</v>
      </c>
      <c r="E379" s="83" t="s">
        <v>530</v>
      </c>
      <c r="F379" s="84">
        <v>1</v>
      </c>
      <c r="G379" s="24">
        <f t="shared" si="16"/>
        <v>627.07142412014684</v>
      </c>
      <c r="H379" s="24">
        <f t="shared" si="17"/>
        <v>0</v>
      </c>
      <c r="I379" s="24">
        <v>627.07142412014684</v>
      </c>
      <c r="J379" s="24">
        <v>0</v>
      </c>
      <c r="K379" s="24">
        <v>627.07142412014684</v>
      </c>
      <c r="L379" s="24">
        <v>0</v>
      </c>
    </row>
    <row r="380" spans="1:12">
      <c r="A380" s="10" t="str">
        <f t="shared" ca="1" si="15"/>
        <v/>
      </c>
      <c r="B380" s="82" t="s">
        <v>294</v>
      </c>
      <c r="C380" s="10" t="s">
        <v>1229</v>
      </c>
      <c r="D380" s="10" t="s">
        <v>47</v>
      </c>
      <c r="E380" s="83" t="s">
        <v>513</v>
      </c>
      <c r="F380" s="84">
        <v>1</v>
      </c>
      <c r="G380" s="24">
        <f t="shared" si="16"/>
        <v>1254.1428482402937</v>
      </c>
      <c r="H380" s="24">
        <f t="shared" si="17"/>
        <v>0</v>
      </c>
      <c r="I380" s="24">
        <v>1254.1428482402937</v>
      </c>
      <c r="J380" s="24">
        <v>0</v>
      </c>
      <c r="K380" s="24">
        <v>1254.1428482402937</v>
      </c>
      <c r="L380" s="24">
        <v>0</v>
      </c>
    </row>
    <row r="381" spans="1:12">
      <c r="A381" s="10" t="str">
        <f t="shared" ca="1" si="15"/>
        <v/>
      </c>
      <c r="B381" s="82" t="s">
        <v>294</v>
      </c>
      <c r="C381" s="10" t="s">
        <v>1230</v>
      </c>
      <c r="D381" s="10" t="s">
        <v>47</v>
      </c>
      <c r="E381" s="83" t="s">
        <v>523</v>
      </c>
      <c r="F381" s="84">
        <v>2</v>
      </c>
      <c r="G381" s="24">
        <f t="shared" si="16"/>
        <v>4389.4999688410271</v>
      </c>
      <c r="H381" s="24">
        <f t="shared" si="17"/>
        <v>0</v>
      </c>
      <c r="I381" s="24">
        <v>4389.4999688410271</v>
      </c>
      <c r="J381" s="24">
        <v>0</v>
      </c>
      <c r="K381" s="24">
        <v>4389.4999688410271</v>
      </c>
      <c r="L381" s="24">
        <v>0</v>
      </c>
    </row>
    <row r="382" spans="1:12">
      <c r="A382" s="10" t="str">
        <f t="shared" ca="1" si="15"/>
        <v/>
      </c>
      <c r="B382" s="82" t="s">
        <v>294</v>
      </c>
      <c r="C382" s="10" t="s">
        <v>1231</v>
      </c>
      <c r="D382" s="10" t="s">
        <v>47</v>
      </c>
      <c r="E382" s="83" t="s">
        <v>525</v>
      </c>
      <c r="F382" s="84">
        <v>1</v>
      </c>
      <c r="G382" s="24">
        <f t="shared" si="16"/>
        <v>1254.1428482402937</v>
      </c>
      <c r="H382" s="24">
        <f t="shared" si="17"/>
        <v>0</v>
      </c>
      <c r="I382" s="24">
        <v>1254.1428482402937</v>
      </c>
      <c r="J382" s="24">
        <v>0</v>
      </c>
      <c r="K382" s="24">
        <v>1254.1428482402937</v>
      </c>
      <c r="L382" s="24">
        <v>0</v>
      </c>
    </row>
    <row r="383" spans="1:12">
      <c r="A383" s="10">
        <f t="shared" ca="1" si="15"/>
        <v>383</v>
      </c>
      <c r="B383" s="82" t="s">
        <v>476</v>
      </c>
      <c r="C383" s="10" t="s">
        <v>1232</v>
      </c>
      <c r="D383" s="10" t="s">
        <v>47</v>
      </c>
      <c r="E383" s="83"/>
      <c r="F383" s="84">
        <v>2</v>
      </c>
      <c r="G383" s="24">
        <f t="shared" si="16"/>
        <v>1.5</v>
      </c>
      <c r="H383" s="24">
        <f t="shared" si="17"/>
        <v>0</v>
      </c>
      <c r="I383" s="24">
        <v>1.5</v>
      </c>
      <c r="J383" s="24">
        <v>0</v>
      </c>
      <c r="K383" s="24">
        <v>1.5</v>
      </c>
      <c r="L383" s="24">
        <v>0</v>
      </c>
    </row>
    <row r="384" spans="1:12">
      <c r="A384" s="10">
        <f t="shared" ca="1" si="15"/>
        <v>421</v>
      </c>
      <c r="B384" s="82" t="s">
        <v>197</v>
      </c>
      <c r="C384" s="10" t="s">
        <v>1233</v>
      </c>
      <c r="D384" s="10" t="s">
        <v>47</v>
      </c>
      <c r="E384" s="83"/>
      <c r="F384" s="84">
        <v>2</v>
      </c>
      <c r="G384" s="24">
        <f t="shared" si="16"/>
        <v>3550.5213547551566</v>
      </c>
      <c r="H384" s="24">
        <f t="shared" si="17"/>
        <v>0</v>
      </c>
      <c r="I384" s="24">
        <v>3550.5213547551566</v>
      </c>
      <c r="J384" s="24">
        <v>0</v>
      </c>
      <c r="K384" s="24">
        <v>3550.5213547551566</v>
      </c>
      <c r="L384" s="24">
        <v>0</v>
      </c>
    </row>
    <row r="385" spans="1:12">
      <c r="A385" s="10" t="str">
        <f t="shared" ca="1" si="15"/>
        <v/>
      </c>
      <c r="B385" s="82" t="s">
        <v>197</v>
      </c>
      <c r="C385" s="10" t="s">
        <v>1234</v>
      </c>
      <c r="D385" s="10" t="s">
        <v>47</v>
      </c>
      <c r="E385" s="83" t="s">
        <v>533</v>
      </c>
      <c r="F385" s="84">
        <v>1</v>
      </c>
      <c r="G385" s="24">
        <f t="shared" si="16"/>
        <v>3550.5213547551566</v>
      </c>
      <c r="H385" s="24">
        <f t="shared" si="17"/>
        <v>0</v>
      </c>
      <c r="I385" s="24">
        <v>3550.5213547551566</v>
      </c>
      <c r="J385" s="24">
        <v>0</v>
      </c>
      <c r="K385" s="24">
        <v>3550.5213547551566</v>
      </c>
      <c r="L385" s="24">
        <v>0</v>
      </c>
    </row>
    <row r="386" spans="1:12">
      <c r="A386" s="10" t="str">
        <f t="shared" ref="A386:A449" ca="1" si="18">IF(B385=B386,"",ROW(A386)-1+MATCH(B386,INDIRECT("B"&amp;ROW(A386)&amp;":"&amp;"B"&amp;$A$1),1))</f>
        <v/>
      </c>
      <c r="B386" s="82" t="s">
        <v>197</v>
      </c>
      <c r="C386" s="10" t="s">
        <v>1235</v>
      </c>
      <c r="D386" s="10" t="s">
        <v>47</v>
      </c>
      <c r="E386" s="83" t="s">
        <v>628</v>
      </c>
      <c r="F386" s="84">
        <v>2</v>
      </c>
      <c r="G386" s="24">
        <f t="shared" ref="G386:G449" si="19">IF($N$2=1,I386,K386)</f>
        <v>3550.5213547551566</v>
      </c>
      <c r="H386" s="24">
        <f t="shared" ref="H386:H449" si="20">IF($N$2=1,J386,L386)</f>
        <v>0</v>
      </c>
      <c r="I386" s="24">
        <v>3550.5213547551566</v>
      </c>
      <c r="J386" s="24">
        <v>0</v>
      </c>
      <c r="K386" s="24">
        <v>3550.5213547551566</v>
      </c>
      <c r="L386" s="24">
        <v>0</v>
      </c>
    </row>
    <row r="387" spans="1:12">
      <c r="A387" s="10" t="str">
        <f t="shared" ca="1" si="18"/>
        <v/>
      </c>
      <c r="B387" s="82" t="s">
        <v>197</v>
      </c>
      <c r="C387" s="10" t="s">
        <v>1236</v>
      </c>
      <c r="D387" s="10" t="s">
        <v>47</v>
      </c>
      <c r="E387" s="83" t="s">
        <v>542</v>
      </c>
      <c r="F387" s="84">
        <v>1</v>
      </c>
      <c r="G387" s="24">
        <f t="shared" si="19"/>
        <v>3550.5213547551566</v>
      </c>
      <c r="H387" s="24">
        <f t="shared" si="20"/>
        <v>0</v>
      </c>
      <c r="I387" s="24">
        <v>3550.5213547551566</v>
      </c>
      <c r="J387" s="24">
        <v>0</v>
      </c>
      <c r="K387" s="24">
        <v>3550.5213547551566</v>
      </c>
      <c r="L387" s="24">
        <v>0</v>
      </c>
    </row>
    <row r="388" spans="1:12">
      <c r="A388" s="10" t="str">
        <f t="shared" ca="1" si="18"/>
        <v/>
      </c>
      <c r="B388" s="82" t="s">
        <v>197</v>
      </c>
      <c r="C388" s="10" t="s">
        <v>1237</v>
      </c>
      <c r="D388" s="10" t="s">
        <v>47</v>
      </c>
      <c r="E388" s="83" t="s">
        <v>624</v>
      </c>
      <c r="F388" s="84">
        <v>4</v>
      </c>
      <c r="G388" s="24">
        <f t="shared" si="19"/>
        <v>3550.5213547551566</v>
      </c>
      <c r="H388" s="24">
        <f t="shared" si="20"/>
        <v>0</v>
      </c>
      <c r="I388" s="24">
        <v>3550.5213547551566</v>
      </c>
      <c r="J388" s="24">
        <v>0</v>
      </c>
      <c r="K388" s="24">
        <v>3550.5213547551566</v>
      </c>
      <c r="L388" s="24">
        <v>0</v>
      </c>
    </row>
    <row r="389" spans="1:12">
      <c r="A389" s="10" t="str">
        <f t="shared" ca="1" si="18"/>
        <v/>
      </c>
      <c r="B389" s="82" t="s">
        <v>197</v>
      </c>
      <c r="C389" s="10" t="s">
        <v>1238</v>
      </c>
      <c r="D389" s="10" t="s">
        <v>47</v>
      </c>
      <c r="E389" s="83" t="s">
        <v>625</v>
      </c>
      <c r="F389" s="84">
        <v>3</v>
      </c>
      <c r="G389" s="24">
        <f t="shared" si="19"/>
        <v>3550.5213547551566</v>
      </c>
      <c r="H389" s="24">
        <f t="shared" si="20"/>
        <v>0</v>
      </c>
      <c r="I389" s="24">
        <v>3550.5213547551566</v>
      </c>
      <c r="J389" s="24">
        <v>0</v>
      </c>
      <c r="K389" s="24">
        <v>3550.5213547551566</v>
      </c>
      <c r="L389" s="24">
        <v>0</v>
      </c>
    </row>
    <row r="390" spans="1:12">
      <c r="A390" s="10" t="str">
        <f t="shared" ca="1" si="18"/>
        <v/>
      </c>
      <c r="B390" s="82" t="s">
        <v>197</v>
      </c>
      <c r="C390" s="10" t="s">
        <v>1239</v>
      </c>
      <c r="D390" s="10" t="s">
        <v>47</v>
      </c>
      <c r="E390" s="83" t="s">
        <v>626</v>
      </c>
      <c r="F390" s="84">
        <v>1</v>
      </c>
      <c r="G390" s="24">
        <f t="shared" si="19"/>
        <v>3550.5213547551566</v>
      </c>
      <c r="H390" s="24">
        <f t="shared" si="20"/>
        <v>0</v>
      </c>
      <c r="I390" s="24">
        <v>3550.5213547551566</v>
      </c>
      <c r="J390" s="24">
        <v>0</v>
      </c>
      <c r="K390" s="24">
        <v>3550.5213547551566</v>
      </c>
      <c r="L390" s="24">
        <v>0</v>
      </c>
    </row>
    <row r="391" spans="1:12">
      <c r="A391" s="10" t="str">
        <f t="shared" ca="1" si="18"/>
        <v/>
      </c>
      <c r="B391" s="82" t="s">
        <v>197</v>
      </c>
      <c r="C391" s="10" t="s">
        <v>1240</v>
      </c>
      <c r="D391" s="10" t="s">
        <v>47</v>
      </c>
      <c r="E391" s="83" t="s">
        <v>567</v>
      </c>
      <c r="F391" s="84">
        <v>1</v>
      </c>
      <c r="G391" s="24">
        <f t="shared" si="19"/>
        <v>3550.5213547551566</v>
      </c>
      <c r="H391" s="24">
        <f t="shared" si="20"/>
        <v>0</v>
      </c>
      <c r="I391" s="24">
        <v>3550.5213547551566</v>
      </c>
      <c r="J391" s="24">
        <v>0</v>
      </c>
      <c r="K391" s="24">
        <v>3550.5213547551566</v>
      </c>
      <c r="L391" s="24">
        <v>0</v>
      </c>
    </row>
    <row r="392" spans="1:12">
      <c r="A392" s="10" t="str">
        <f t="shared" ca="1" si="18"/>
        <v/>
      </c>
      <c r="B392" s="82" t="s">
        <v>197</v>
      </c>
      <c r="C392" s="10" t="s">
        <v>1241</v>
      </c>
      <c r="D392" s="10" t="s">
        <v>47</v>
      </c>
      <c r="E392" s="83" t="s">
        <v>518</v>
      </c>
      <c r="F392" s="84">
        <v>1</v>
      </c>
      <c r="G392" s="24">
        <f t="shared" si="19"/>
        <v>3550.5213547551566</v>
      </c>
      <c r="H392" s="24">
        <f t="shared" si="20"/>
        <v>0</v>
      </c>
      <c r="I392" s="24">
        <v>3550.5213547551566</v>
      </c>
      <c r="J392" s="24">
        <v>0</v>
      </c>
      <c r="K392" s="24">
        <v>3550.5213547551566</v>
      </c>
      <c r="L392" s="24">
        <v>0</v>
      </c>
    </row>
    <row r="393" spans="1:12">
      <c r="A393" s="10" t="str">
        <f t="shared" ca="1" si="18"/>
        <v/>
      </c>
      <c r="B393" s="82" t="s">
        <v>197</v>
      </c>
      <c r="C393" s="10" t="s">
        <v>1242</v>
      </c>
      <c r="D393" s="10" t="s">
        <v>47</v>
      </c>
      <c r="E393" s="83" t="s">
        <v>538</v>
      </c>
      <c r="F393" s="84">
        <v>1</v>
      </c>
      <c r="G393" s="24">
        <f t="shared" si="19"/>
        <v>3550.5213547551566</v>
      </c>
      <c r="H393" s="24">
        <f t="shared" si="20"/>
        <v>0</v>
      </c>
      <c r="I393" s="24">
        <v>3550.5213547551566</v>
      </c>
      <c r="J393" s="24">
        <v>0</v>
      </c>
      <c r="K393" s="24">
        <v>3550.5213547551566</v>
      </c>
      <c r="L393" s="24">
        <v>0</v>
      </c>
    </row>
    <row r="394" spans="1:12">
      <c r="A394" s="10" t="str">
        <f t="shared" ca="1" si="18"/>
        <v/>
      </c>
      <c r="B394" s="82" t="s">
        <v>197</v>
      </c>
      <c r="C394" s="10" t="s">
        <v>1243</v>
      </c>
      <c r="D394" s="10" t="s">
        <v>47</v>
      </c>
      <c r="E394" s="83" t="s">
        <v>627</v>
      </c>
      <c r="F394" s="84">
        <v>1</v>
      </c>
      <c r="G394" s="24">
        <f t="shared" si="19"/>
        <v>3550.5213547551566</v>
      </c>
      <c r="H394" s="24">
        <f t="shared" si="20"/>
        <v>0</v>
      </c>
      <c r="I394" s="24">
        <v>3550.5213547551566</v>
      </c>
      <c r="J394" s="24">
        <v>0</v>
      </c>
      <c r="K394" s="24">
        <v>3550.5213547551566</v>
      </c>
      <c r="L394" s="24">
        <v>0</v>
      </c>
    </row>
    <row r="395" spans="1:12">
      <c r="A395" s="10" t="str">
        <f t="shared" ca="1" si="18"/>
        <v/>
      </c>
      <c r="B395" s="82" t="s">
        <v>197</v>
      </c>
      <c r="C395" s="10" t="s">
        <v>1244</v>
      </c>
      <c r="D395" s="10" t="s">
        <v>47</v>
      </c>
      <c r="E395" s="83" t="s">
        <v>629</v>
      </c>
      <c r="F395" s="84">
        <v>2</v>
      </c>
      <c r="G395" s="24">
        <f t="shared" si="19"/>
        <v>3550.5213547551566</v>
      </c>
      <c r="H395" s="24">
        <f t="shared" si="20"/>
        <v>0</v>
      </c>
      <c r="I395" s="24">
        <v>3550.5213547551566</v>
      </c>
      <c r="J395" s="24">
        <v>0</v>
      </c>
      <c r="K395" s="24">
        <v>3550.5213547551566</v>
      </c>
      <c r="L395" s="24">
        <v>0</v>
      </c>
    </row>
    <row r="396" spans="1:12">
      <c r="A396" s="10" t="str">
        <f t="shared" ca="1" si="18"/>
        <v/>
      </c>
      <c r="B396" s="82" t="s">
        <v>197</v>
      </c>
      <c r="C396" s="10" t="s">
        <v>1245</v>
      </c>
      <c r="D396" s="10" t="s">
        <v>47</v>
      </c>
      <c r="E396" s="83" t="s">
        <v>534</v>
      </c>
      <c r="F396" s="84">
        <v>2</v>
      </c>
      <c r="G396" s="24">
        <f t="shared" si="19"/>
        <v>3550.5213547551566</v>
      </c>
      <c r="H396" s="24">
        <f t="shared" si="20"/>
        <v>0</v>
      </c>
      <c r="I396" s="24">
        <v>3550.5213547551566</v>
      </c>
      <c r="J396" s="24">
        <v>0</v>
      </c>
      <c r="K396" s="24">
        <v>3550.5213547551566</v>
      </c>
      <c r="L396" s="24">
        <v>0</v>
      </c>
    </row>
    <row r="397" spans="1:12">
      <c r="A397" s="10" t="str">
        <f t="shared" ca="1" si="18"/>
        <v/>
      </c>
      <c r="B397" s="82" t="s">
        <v>197</v>
      </c>
      <c r="C397" s="10" t="s">
        <v>1246</v>
      </c>
      <c r="D397" s="10" t="s">
        <v>47</v>
      </c>
      <c r="E397" s="83" t="s">
        <v>799</v>
      </c>
      <c r="F397" s="84">
        <v>1</v>
      </c>
      <c r="G397" s="24">
        <f t="shared" si="19"/>
        <v>3550.5213547551566</v>
      </c>
      <c r="H397" s="24">
        <f t="shared" si="20"/>
        <v>0</v>
      </c>
      <c r="I397" s="24">
        <v>3550.5213547551566</v>
      </c>
      <c r="J397" s="24">
        <v>0</v>
      </c>
      <c r="K397" s="24">
        <v>3550.5213547551566</v>
      </c>
      <c r="L397" s="24">
        <v>0</v>
      </c>
    </row>
    <row r="398" spans="1:12">
      <c r="A398" s="10" t="str">
        <f t="shared" ca="1" si="18"/>
        <v/>
      </c>
      <c r="B398" s="82" t="s">
        <v>197</v>
      </c>
      <c r="C398" s="10" t="s">
        <v>1247</v>
      </c>
      <c r="D398" s="10" t="s">
        <v>47</v>
      </c>
      <c r="E398" s="83" t="s">
        <v>579</v>
      </c>
      <c r="F398" s="84">
        <v>1</v>
      </c>
      <c r="G398" s="24">
        <f t="shared" si="19"/>
        <v>3550.5213547551566</v>
      </c>
      <c r="H398" s="24">
        <f t="shared" si="20"/>
        <v>0</v>
      </c>
      <c r="I398" s="24">
        <v>3550.5213547551566</v>
      </c>
      <c r="J398" s="24">
        <v>0</v>
      </c>
      <c r="K398" s="24">
        <v>3550.5213547551566</v>
      </c>
      <c r="L398" s="24">
        <v>0</v>
      </c>
    </row>
    <row r="399" spans="1:12">
      <c r="A399" s="10" t="str">
        <f t="shared" ca="1" si="18"/>
        <v/>
      </c>
      <c r="B399" s="82" t="s">
        <v>197</v>
      </c>
      <c r="C399" s="10" t="s">
        <v>1248</v>
      </c>
      <c r="D399" s="10" t="s">
        <v>47</v>
      </c>
      <c r="E399" s="83" t="s">
        <v>513</v>
      </c>
      <c r="F399" s="84">
        <v>4</v>
      </c>
      <c r="G399" s="24">
        <f t="shared" si="19"/>
        <v>3550.5213547551566</v>
      </c>
      <c r="H399" s="24">
        <f t="shared" si="20"/>
        <v>0</v>
      </c>
      <c r="I399" s="24">
        <v>3550.5213547551566</v>
      </c>
      <c r="J399" s="24">
        <v>0</v>
      </c>
      <c r="K399" s="24">
        <v>3550.5213547551566</v>
      </c>
      <c r="L399" s="24">
        <v>0</v>
      </c>
    </row>
    <row r="400" spans="1:12">
      <c r="A400" s="10" t="str">
        <f t="shared" ca="1" si="18"/>
        <v/>
      </c>
      <c r="B400" s="82" t="s">
        <v>197</v>
      </c>
      <c r="C400" s="10" t="s">
        <v>1249</v>
      </c>
      <c r="D400" s="10" t="s">
        <v>47</v>
      </c>
      <c r="E400" s="83" t="s">
        <v>631</v>
      </c>
      <c r="F400" s="84">
        <v>2</v>
      </c>
      <c r="G400" s="24">
        <f t="shared" si="19"/>
        <v>3550.5213547551566</v>
      </c>
      <c r="H400" s="24">
        <f t="shared" si="20"/>
        <v>0</v>
      </c>
      <c r="I400" s="24">
        <v>3550.5213547551566</v>
      </c>
      <c r="J400" s="24">
        <v>0</v>
      </c>
      <c r="K400" s="24">
        <v>3550.5213547551566</v>
      </c>
      <c r="L400" s="24">
        <v>0</v>
      </c>
    </row>
    <row r="401" spans="1:12">
      <c r="A401" s="10" t="str">
        <f t="shared" ca="1" si="18"/>
        <v/>
      </c>
      <c r="B401" s="82" t="s">
        <v>197</v>
      </c>
      <c r="C401" s="10" t="s">
        <v>1250</v>
      </c>
      <c r="D401" s="10" t="s">
        <v>47</v>
      </c>
      <c r="E401" s="83" t="s">
        <v>632</v>
      </c>
      <c r="F401" s="84">
        <v>2</v>
      </c>
      <c r="G401" s="24">
        <f t="shared" si="19"/>
        <v>3550.5213547551566</v>
      </c>
      <c r="H401" s="24">
        <f t="shared" si="20"/>
        <v>0</v>
      </c>
      <c r="I401" s="24">
        <v>3550.5213547551566</v>
      </c>
      <c r="J401" s="24">
        <v>0</v>
      </c>
      <c r="K401" s="24">
        <v>3550.5213547551566</v>
      </c>
      <c r="L401" s="24">
        <v>0</v>
      </c>
    </row>
    <row r="402" spans="1:12">
      <c r="A402" s="10" t="str">
        <f t="shared" ca="1" si="18"/>
        <v/>
      </c>
      <c r="B402" s="82" t="s">
        <v>197</v>
      </c>
      <c r="C402" s="10" t="s">
        <v>1251</v>
      </c>
      <c r="D402" s="10" t="s">
        <v>47</v>
      </c>
      <c r="E402" s="83" t="s">
        <v>630</v>
      </c>
      <c r="F402" s="84">
        <v>2</v>
      </c>
      <c r="G402" s="24">
        <f t="shared" si="19"/>
        <v>3550.5213547551566</v>
      </c>
      <c r="H402" s="24">
        <f t="shared" si="20"/>
        <v>0</v>
      </c>
      <c r="I402" s="24">
        <v>3550.5213547551566</v>
      </c>
      <c r="J402" s="24">
        <v>0</v>
      </c>
      <c r="K402" s="24">
        <v>3550.5213547551566</v>
      </c>
      <c r="L402" s="24">
        <v>0</v>
      </c>
    </row>
    <row r="403" spans="1:12">
      <c r="A403" s="10" t="str">
        <f t="shared" ca="1" si="18"/>
        <v/>
      </c>
      <c r="B403" s="82" t="s">
        <v>197</v>
      </c>
      <c r="C403" s="10" t="s">
        <v>1252</v>
      </c>
      <c r="D403" s="10" t="s">
        <v>47</v>
      </c>
      <c r="E403" s="83" t="s">
        <v>581</v>
      </c>
      <c r="F403" s="84">
        <v>2</v>
      </c>
      <c r="G403" s="24">
        <f t="shared" si="19"/>
        <v>3550.5213547551566</v>
      </c>
      <c r="H403" s="24">
        <f t="shared" si="20"/>
        <v>0</v>
      </c>
      <c r="I403" s="24">
        <v>3550.5213547551566</v>
      </c>
      <c r="J403" s="24">
        <v>0</v>
      </c>
      <c r="K403" s="24">
        <v>3550.5213547551566</v>
      </c>
      <c r="L403" s="24">
        <v>0</v>
      </c>
    </row>
    <row r="404" spans="1:12">
      <c r="A404" s="10" t="str">
        <f t="shared" ca="1" si="18"/>
        <v/>
      </c>
      <c r="B404" s="82" t="s">
        <v>197</v>
      </c>
      <c r="C404" s="10" t="s">
        <v>1253</v>
      </c>
      <c r="D404" s="10" t="s">
        <v>47</v>
      </c>
      <c r="E404" s="83" t="s">
        <v>633</v>
      </c>
      <c r="F404" s="84">
        <v>2</v>
      </c>
      <c r="G404" s="24">
        <f t="shared" si="19"/>
        <v>3550.5213547551566</v>
      </c>
      <c r="H404" s="24">
        <f t="shared" si="20"/>
        <v>0</v>
      </c>
      <c r="I404" s="24">
        <v>3550.5213547551566</v>
      </c>
      <c r="J404" s="24">
        <v>0</v>
      </c>
      <c r="K404" s="24">
        <v>3550.5213547551566</v>
      </c>
      <c r="L404" s="24">
        <v>0</v>
      </c>
    </row>
    <row r="405" spans="1:12">
      <c r="A405" s="10" t="str">
        <f t="shared" ca="1" si="18"/>
        <v/>
      </c>
      <c r="B405" s="82" t="s">
        <v>197</v>
      </c>
      <c r="C405" s="10" t="s">
        <v>1254</v>
      </c>
      <c r="D405" s="10" t="s">
        <v>47</v>
      </c>
      <c r="E405" s="83" t="s">
        <v>800</v>
      </c>
      <c r="F405" s="84">
        <v>2</v>
      </c>
      <c r="G405" s="24">
        <f t="shared" si="19"/>
        <v>3550.5213547551566</v>
      </c>
      <c r="H405" s="24">
        <f t="shared" si="20"/>
        <v>0</v>
      </c>
      <c r="I405" s="24">
        <v>3550.5213547551566</v>
      </c>
      <c r="J405" s="24">
        <v>0</v>
      </c>
      <c r="K405" s="24">
        <v>3550.5213547551566</v>
      </c>
      <c r="L405" s="24">
        <v>0</v>
      </c>
    </row>
    <row r="406" spans="1:12">
      <c r="A406" s="10" t="str">
        <f t="shared" ca="1" si="18"/>
        <v/>
      </c>
      <c r="B406" s="82" t="s">
        <v>197</v>
      </c>
      <c r="C406" s="10" t="s">
        <v>1255</v>
      </c>
      <c r="D406" s="10" t="s">
        <v>47</v>
      </c>
      <c r="E406" s="83" t="s">
        <v>522</v>
      </c>
      <c r="F406" s="84">
        <v>2</v>
      </c>
      <c r="G406" s="24">
        <f t="shared" si="19"/>
        <v>3550.5213547551566</v>
      </c>
      <c r="H406" s="24">
        <f t="shared" si="20"/>
        <v>0</v>
      </c>
      <c r="I406" s="24">
        <v>3550.5213547551566</v>
      </c>
      <c r="J406" s="24">
        <v>0</v>
      </c>
      <c r="K406" s="24">
        <v>3550.5213547551566</v>
      </c>
      <c r="L406" s="24">
        <v>0</v>
      </c>
    </row>
    <row r="407" spans="1:12">
      <c r="A407" s="10" t="str">
        <f t="shared" ca="1" si="18"/>
        <v/>
      </c>
      <c r="B407" s="82" t="s">
        <v>197</v>
      </c>
      <c r="C407" s="10" t="s">
        <v>1256</v>
      </c>
      <c r="D407" s="10" t="s">
        <v>47</v>
      </c>
      <c r="E407" s="83" t="s">
        <v>801</v>
      </c>
      <c r="F407" s="84">
        <v>2</v>
      </c>
      <c r="G407" s="24">
        <f t="shared" si="19"/>
        <v>3550.5213547551566</v>
      </c>
      <c r="H407" s="24">
        <f t="shared" si="20"/>
        <v>0</v>
      </c>
      <c r="I407" s="24">
        <v>3550.5213547551566</v>
      </c>
      <c r="J407" s="24">
        <v>0</v>
      </c>
      <c r="K407" s="24">
        <v>3550.5213547551566</v>
      </c>
      <c r="L407" s="24">
        <v>0</v>
      </c>
    </row>
    <row r="408" spans="1:12">
      <c r="A408" s="10" t="str">
        <f t="shared" ca="1" si="18"/>
        <v/>
      </c>
      <c r="B408" s="82" t="s">
        <v>197</v>
      </c>
      <c r="C408" s="10" t="s">
        <v>1257</v>
      </c>
      <c r="D408" s="10" t="s">
        <v>47</v>
      </c>
      <c r="E408" s="83" t="s">
        <v>546</v>
      </c>
      <c r="F408" s="84">
        <v>2</v>
      </c>
      <c r="G408" s="24">
        <f t="shared" si="19"/>
        <v>3550.5213547551566</v>
      </c>
      <c r="H408" s="24">
        <f t="shared" si="20"/>
        <v>0</v>
      </c>
      <c r="I408" s="24">
        <v>3550.5213547551566</v>
      </c>
      <c r="J408" s="24">
        <v>0</v>
      </c>
      <c r="K408" s="24">
        <v>3550.5213547551566</v>
      </c>
      <c r="L408" s="24">
        <v>0</v>
      </c>
    </row>
    <row r="409" spans="1:12">
      <c r="A409" s="10" t="str">
        <f t="shared" ca="1" si="18"/>
        <v/>
      </c>
      <c r="B409" s="82" t="s">
        <v>197</v>
      </c>
      <c r="C409" s="10" t="s">
        <v>1258</v>
      </c>
      <c r="D409" s="10" t="s">
        <v>47</v>
      </c>
      <c r="E409" s="83" t="s">
        <v>511</v>
      </c>
      <c r="F409" s="84">
        <v>1</v>
      </c>
      <c r="G409" s="24">
        <f t="shared" si="19"/>
        <v>3550.5213547551566</v>
      </c>
      <c r="H409" s="24">
        <f t="shared" si="20"/>
        <v>0</v>
      </c>
      <c r="I409" s="24">
        <v>3550.5213547551566</v>
      </c>
      <c r="J409" s="24">
        <v>0</v>
      </c>
      <c r="K409" s="24">
        <v>3550.5213547551566</v>
      </c>
      <c r="L409" s="24">
        <v>0</v>
      </c>
    </row>
    <row r="410" spans="1:12">
      <c r="A410" s="10" t="str">
        <f t="shared" ca="1" si="18"/>
        <v/>
      </c>
      <c r="B410" s="82" t="s">
        <v>197</v>
      </c>
      <c r="C410" s="10" t="s">
        <v>1259</v>
      </c>
      <c r="D410" s="10" t="s">
        <v>47</v>
      </c>
      <c r="E410" s="83" t="s">
        <v>634</v>
      </c>
      <c r="F410" s="84">
        <v>1</v>
      </c>
      <c r="G410" s="24">
        <f t="shared" si="19"/>
        <v>3550.5213547551566</v>
      </c>
      <c r="H410" s="24">
        <f t="shared" si="20"/>
        <v>0</v>
      </c>
      <c r="I410" s="24">
        <v>3550.5213547551566</v>
      </c>
      <c r="J410" s="24">
        <v>0</v>
      </c>
      <c r="K410" s="24">
        <v>3550.5213547551566</v>
      </c>
      <c r="L410" s="24">
        <v>0</v>
      </c>
    </row>
    <row r="411" spans="1:12">
      <c r="A411" s="10" t="str">
        <f t="shared" ca="1" si="18"/>
        <v/>
      </c>
      <c r="B411" s="82" t="s">
        <v>197</v>
      </c>
      <c r="C411" s="10" t="s">
        <v>1260</v>
      </c>
      <c r="D411" s="10" t="s">
        <v>47</v>
      </c>
      <c r="E411" s="83" t="s">
        <v>635</v>
      </c>
      <c r="F411" s="84">
        <v>2</v>
      </c>
      <c r="G411" s="24">
        <f t="shared" si="19"/>
        <v>3550.5213547551566</v>
      </c>
      <c r="H411" s="24">
        <f t="shared" si="20"/>
        <v>0</v>
      </c>
      <c r="I411" s="24">
        <v>3550.5213547551566</v>
      </c>
      <c r="J411" s="24">
        <v>0</v>
      </c>
      <c r="K411" s="24">
        <v>3550.5213547551566</v>
      </c>
      <c r="L411" s="24">
        <v>0</v>
      </c>
    </row>
    <row r="412" spans="1:12">
      <c r="A412" s="10" t="str">
        <f t="shared" ca="1" si="18"/>
        <v/>
      </c>
      <c r="B412" s="82" t="s">
        <v>197</v>
      </c>
      <c r="C412" s="10" t="s">
        <v>1261</v>
      </c>
      <c r="D412" s="10" t="s">
        <v>47</v>
      </c>
      <c r="E412" s="83" t="s">
        <v>636</v>
      </c>
      <c r="F412" s="84">
        <v>1</v>
      </c>
      <c r="G412" s="24">
        <f t="shared" si="19"/>
        <v>3550.5213547551566</v>
      </c>
      <c r="H412" s="24">
        <f t="shared" si="20"/>
        <v>0</v>
      </c>
      <c r="I412" s="24">
        <v>3550.5213547551566</v>
      </c>
      <c r="J412" s="24">
        <v>0</v>
      </c>
      <c r="K412" s="24">
        <v>3550.5213547551566</v>
      </c>
      <c r="L412" s="24">
        <v>0</v>
      </c>
    </row>
    <row r="413" spans="1:12">
      <c r="A413" s="10" t="str">
        <f t="shared" ca="1" si="18"/>
        <v/>
      </c>
      <c r="B413" s="82" t="s">
        <v>197</v>
      </c>
      <c r="C413" s="10" t="s">
        <v>1262</v>
      </c>
      <c r="D413" s="10" t="s">
        <v>47</v>
      </c>
      <c r="E413" s="83" t="s">
        <v>802</v>
      </c>
      <c r="F413" s="84">
        <v>2</v>
      </c>
      <c r="G413" s="24">
        <f t="shared" si="19"/>
        <v>3550.5213547551566</v>
      </c>
      <c r="H413" s="24">
        <f t="shared" si="20"/>
        <v>0</v>
      </c>
      <c r="I413" s="24">
        <v>3550.5213547551566</v>
      </c>
      <c r="J413" s="24">
        <v>0</v>
      </c>
      <c r="K413" s="24">
        <v>3550.5213547551566</v>
      </c>
      <c r="L413" s="24">
        <v>0</v>
      </c>
    </row>
    <row r="414" spans="1:12">
      <c r="A414" s="10" t="str">
        <f t="shared" ca="1" si="18"/>
        <v/>
      </c>
      <c r="B414" s="82" t="s">
        <v>197</v>
      </c>
      <c r="C414" s="10" t="s">
        <v>1263</v>
      </c>
      <c r="D414" s="10" t="s">
        <v>47</v>
      </c>
      <c r="E414" s="83" t="s">
        <v>637</v>
      </c>
      <c r="F414" s="84">
        <v>2</v>
      </c>
      <c r="G414" s="24">
        <f t="shared" si="19"/>
        <v>3550.5213547551566</v>
      </c>
      <c r="H414" s="24">
        <f t="shared" si="20"/>
        <v>0</v>
      </c>
      <c r="I414" s="24">
        <v>3550.5213547551566</v>
      </c>
      <c r="J414" s="24">
        <v>0</v>
      </c>
      <c r="K414" s="24">
        <v>3550.5213547551566</v>
      </c>
      <c r="L414" s="24">
        <v>0</v>
      </c>
    </row>
    <row r="415" spans="1:12">
      <c r="A415" s="10" t="str">
        <f t="shared" ca="1" si="18"/>
        <v/>
      </c>
      <c r="B415" s="82" t="s">
        <v>197</v>
      </c>
      <c r="C415" s="10" t="s">
        <v>1264</v>
      </c>
      <c r="D415" s="10" t="s">
        <v>47</v>
      </c>
      <c r="E415" s="83" t="s">
        <v>523</v>
      </c>
      <c r="F415" s="84">
        <v>2</v>
      </c>
      <c r="G415" s="24">
        <f t="shared" si="19"/>
        <v>3550.5213547551566</v>
      </c>
      <c r="H415" s="24">
        <f t="shared" si="20"/>
        <v>0</v>
      </c>
      <c r="I415" s="24">
        <v>3550.5213547551566</v>
      </c>
      <c r="J415" s="24">
        <v>0</v>
      </c>
      <c r="K415" s="24">
        <v>3550.5213547551566</v>
      </c>
      <c r="L415" s="24">
        <v>0</v>
      </c>
    </row>
    <row r="416" spans="1:12">
      <c r="A416" s="10" t="str">
        <f t="shared" ca="1" si="18"/>
        <v/>
      </c>
      <c r="B416" s="82" t="s">
        <v>197</v>
      </c>
      <c r="C416" s="10" t="s">
        <v>1265</v>
      </c>
      <c r="D416" s="10" t="s">
        <v>47</v>
      </c>
      <c r="E416" s="83" t="s">
        <v>638</v>
      </c>
      <c r="F416" s="84">
        <v>4</v>
      </c>
      <c r="G416" s="24">
        <f t="shared" si="19"/>
        <v>3550.5213547551566</v>
      </c>
      <c r="H416" s="24">
        <f t="shared" si="20"/>
        <v>0</v>
      </c>
      <c r="I416" s="24">
        <v>3550.5213547551566</v>
      </c>
      <c r="J416" s="24">
        <v>0</v>
      </c>
      <c r="K416" s="24">
        <v>3550.5213547551566</v>
      </c>
      <c r="L416" s="24">
        <v>0</v>
      </c>
    </row>
    <row r="417" spans="1:12">
      <c r="A417" s="10" t="str">
        <f t="shared" ca="1" si="18"/>
        <v/>
      </c>
      <c r="B417" s="82" t="s">
        <v>197</v>
      </c>
      <c r="C417" s="10" t="s">
        <v>1266</v>
      </c>
      <c r="D417" s="10" t="s">
        <v>47</v>
      </c>
      <c r="E417" s="83" t="s">
        <v>524</v>
      </c>
      <c r="F417" s="84">
        <v>2</v>
      </c>
      <c r="G417" s="24">
        <f t="shared" si="19"/>
        <v>3550.5213547551566</v>
      </c>
      <c r="H417" s="24">
        <f t="shared" si="20"/>
        <v>0</v>
      </c>
      <c r="I417" s="24">
        <v>3550.5213547551566</v>
      </c>
      <c r="J417" s="24">
        <v>0</v>
      </c>
      <c r="K417" s="24">
        <v>3550.5213547551566</v>
      </c>
      <c r="L417" s="24">
        <v>0</v>
      </c>
    </row>
    <row r="418" spans="1:12">
      <c r="A418" s="10" t="str">
        <f t="shared" ca="1" si="18"/>
        <v/>
      </c>
      <c r="B418" s="82" t="s">
        <v>197</v>
      </c>
      <c r="C418" s="10" t="s">
        <v>1267</v>
      </c>
      <c r="D418" s="10" t="s">
        <v>47</v>
      </c>
      <c r="E418" s="83" t="s">
        <v>525</v>
      </c>
      <c r="F418" s="84">
        <v>1</v>
      </c>
      <c r="G418" s="24">
        <f t="shared" si="19"/>
        <v>3550.5213547551566</v>
      </c>
      <c r="H418" s="24">
        <f t="shared" si="20"/>
        <v>0</v>
      </c>
      <c r="I418" s="24">
        <v>3550.5213547551566</v>
      </c>
      <c r="J418" s="24">
        <v>0</v>
      </c>
      <c r="K418" s="24">
        <v>3550.5213547551566</v>
      </c>
      <c r="L418" s="24">
        <v>0</v>
      </c>
    </row>
    <row r="419" spans="1:12">
      <c r="A419" s="10" t="str">
        <f t="shared" ca="1" si="18"/>
        <v/>
      </c>
      <c r="B419" s="82" t="s">
        <v>197</v>
      </c>
      <c r="C419" s="10" t="s">
        <v>1268</v>
      </c>
      <c r="D419" s="10" t="s">
        <v>47</v>
      </c>
      <c r="E419" s="83" t="s">
        <v>620</v>
      </c>
      <c r="F419" s="84">
        <v>4</v>
      </c>
      <c r="G419" s="24">
        <f t="shared" si="19"/>
        <v>3550.5213547551566</v>
      </c>
      <c r="H419" s="24">
        <f t="shared" si="20"/>
        <v>0</v>
      </c>
      <c r="I419" s="24">
        <v>3550.5213547551566</v>
      </c>
      <c r="J419" s="24">
        <v>0</v>
      </c>
      <c r="K419" s="24">
        <v>3550.5213547551566</v>
      </c>
      <c r="L419" s="24">
        <v>0</v>
      </c>
    </row>
    <row r="420" spans="1:12">
      <c r="A420" s="10" t="str">
        <f t="shared" ca="1" si="18"/>
        <v/>
      </c>
      <c r="B420" s="82" t="s">
        <v>197</v>
      </c>
      <c r="C420" s="10" t="s">
        <v>1269</v>
      </c>
      <c r="D420" s="10" t="s">
        <v>47</v>
      </c>
      <c r="E420" s="83" t="s">
        <v>528</v>
      </c>
      <c r="F420" s="84">
        <v>2</v>
      </c>
      <c r="G420" s="24">
        <f t="shared" si="19"/>
        <v>3550.5213547551566</v>
      </c>
      <c r="H420" s="24">
        <f t="shared" si="20"/>
        <v>0</v>
      </c>
      <c r="I420" s="24">
        <v>3550.5213547551566</v>
      </c>
      <c r="J420" s="24">
        <v>0</v>
      </c>
      <c r="K420" s="24">
        <v>3550.5213547551566</v>
      </c>
      <c r="L420" s="24">
        <v>0</v>
      </c>
    </row>
    <row r="421" spans="1:12">
      <c r="A421" s="10" t="str">
        <f t="shared" ca="1" si="18"/>
        <v/>
      </c>
      <c r="B421" s="82" t="s">
        <v>197</v>
      </c>
      <c r="C421" s="10" t="s">
        <v>1270</v>
      </c>
      <c r="D421" s="10" t="s">
        <v>47</v>
      </c>
      <c r="E421" s="83" t="s">
        <v>537</v>
      </c>
      <c r="F421" s="84">
        <v>2</v>
      </c>
      <c r="G421" s="24">
        <f t="shared" si="19"/>
        <v>3550.5213547551566</v>
      </c>
      <c r="H421" s="24">
        <f t="shared" si="20"/>
        <v>0</v>
      </c>
      <c r="I421" s="24">
        <v>3550.5213547551566</v>
      </c>
      <c r="J421" s="24">
        <v>0</v>
      </c>
      <c r="K421" s="24">
        <v>3550.5213547551566</v>
      </c>
      <c r="L421" s="24">
        <v>0</v>
      </c>
    </row>
    <row r="422" spans="1:12">
      <c r="A422" s="10">
        <f t="shared" ca="1" si="18"/>
        <v>429</v>
      </c>
      <c r="B422" s="82" t="s">
        <v>274</v>
      </c>
      <c r="C422" s="10" t="s">
        <v>1271</v>
      </c>
      <c r="D422" s="10" t="s">
        <v>47</v>
      </c>
      <c r="E422" s="83"/>
      <c r="F422" s="84">
        <v>1</v>
      </c>
      <c r="G422" s="24">
        <f t="shared" si="19"/>
        <v>137.70935468311666</v>
      </c>
      <c r="H422" s="24">
        <f t="shared" si="20"/>
        <v>0</v>
      </c>
      <c r="I422" s="24">
        <v>137.70935468311666</v>
      </c>
      <c r="J422" s="24">
        <v>0</v>
      </c>
      <c r="K422" s="24">
        <v>137.70935468311666</v>
      </c>
      <c r="L422" s="24">
        <v>0</v>
      </c>
    </row>
    <row r="423" spans="1:12">
      <c r="A423" s="10" t="str">
        <f t="shared" ca="1" si="18"/>
        <v/>
      </c>
      <c r="B423" s="82" t="s">
        <v>274</v>
      </c>
      <c r="C423" s="10" t="s">
        <v>1272</v>
      </c>
      <c r="D423" s="10" t="s">
        <v>47</v>
      </c>
      <c r="E423" s="83" t="s">
        <v>518</v>
      </c>
      <c r="F423" s="84">
        <v>1</v>
      </c>
      <c r="G423" s="24">
        <f t="shared" si="19"/>
        <v>2065.64032024675</v>
      </c>
      <c r="H423" s="24">
        <f t="shared" si="20"/>
        <v>0</v>
      </c>
      <c r="I423" s="24">
        <v>2065.64032024675</v>
      </c>
      <c r="J423" s="24">
        <v>0</v>
      </c>
      <c r="K423" s="24">
        <v>2065.64032024675</v>
      </c>
      <c r="L423" s="24">
        <v>0</v>
      </c>
    </row>
    <row r="424" spans="1:12">
      <c r="A424" s="10" t="str">
        <f t="shared" ca="1" si="18"/>
        <v/>
      </c>
      <c r="B424" s="82" t="s">
        <v>274</v>
      </c>
      <c r="C424" s="10" t="s">
        <v>1273</v>
      </c>
      <c r="D424" s="10" t="s">
        <v>47</v>
      </c>
      <c r="E424" s="83" t="s">
        <v>538</v>
      </c>
      <c r="F424" s="84">
        <v>1</v>
      </c>
      <c r="G424" s="24">
        <f t="shared" si="19"/>
        <v>2065.64032024675</v>
      </c>
      <c r="H424" s="24">
        <f t="shared" si="20"/>
        <v>0</v>
      </c>
      <c r="I424" s="24">
        <v>2065.64032024675</v>
      </c>
      <c r="J424" s="24">
        <v>0</v>
      </c>
      <c r="K424" s="24">
        <v>2065.64032024675</v>
      </c>
      <c r="L424" s="24">
        <v>0</v>
      </c>
    </row>
    <row r="425" spans="1:12">
      <c r="A425" s="10" t="str">
        <f t="shared" ca="1" si="18"/>
        <v/>
      </c>
      <c r="B425" s="82" t="s">
        <v>274</v>
      </c>
      <c r="C425" s="10" t="s">
        <v>1274</v>
      </c>
      <c r="D425" s="10" t="s">
        <v>47</v>
      </c>
      <c r="E425" s="83" t="s">
        <v>639</v>
      </c>
      <c r="F425" s="84">
        <v>1</v>
      </c>
      <c r="G425" s="24">
        <f t="shared" si="19"/>
        <v>2065.64032024675</v>
      </c>
      <c r="H425" s="24">
        <f t="shared" si="20"/>
        <v>0</v>
      </c>
      <c r="I425" s="24">
        <v>2065.64032024675</v>
      </c>
      <c r="J425" s="24">
        <v>0</v>
      </c>
      <c r="K425" s="24">
        <v>2065.64032024675</v>
      </c>
      <c r="L425" s="24">
        <v>0</v>
      </c>
    </row>
    <row r="426" spans="1:12">
      <c r="A426" s="10" t="str">
        <f t="shared" ca="1" si="18"/>
        <v/>
      </c>
      <c r="B426" s="82" t="s">
        <v>274</v>
      </c>
      <c r="C426" s="10" t="s">
        <v>1275</v>
      </c>
      <c r="D426" s="10" t="s">
        <v>47</v>
      </c>
      <c r="E426" s="83" t="s">
        <v>513</v>
      </c>
      <c r="F426" s="84">
        <v>1</v>
      </c>
      <c r="G426" s="24">
        <f t="shared" si="19"/>
        <v>2754.1870936623336</v>
      </c>
      <c r="H426" s="24">
        <f t="shared" si="20"/>
        <v>0</v>
      </c>
      <c r="I426" s="24">
        <v>2754.1870936623336</v>
      </c>
      <c r="J426" s="24">
        <v>0</v>
      </c>
      <c r="K426" s="24">
        <v>2754.1870936623336</v>
      </c>
      <c r="L426" s="24">
        <v>0</v>
      </c>
    </row>
    <row r="427" spans="1:12">
      <c r="A427" s="10" t="str">
        <f t="shared" ca="1" si="18"/>
        <v/>
      </c>
      <c r="B427" s="82" t="s">
        <v>274</v>
      </c>
      <c r="C427" s="10" t="s">
        <v>1276</v>
      </c>
      <c r="D427" s="10" t="s">
        <v>47</v>
      </c>
      <c r="E427" s="83" t="s">
        <v>522</v>
      </c>
      <c r="F427" s="84">
        <v>2</v>
      </c>
      <c r="G427" s="24">
        <f t="shared" si="19"/>
        <v>2754.1870936623336</v>
      </c>
      <c r="H427" s="24">
        <f t="shared" si="20"/>
        <v>0</v>
      </c>
      <c r="I427" s="24">
        <v>2754.1870936623336</v>
      </c>
      <c r="J427" s="24">
        <v>0</v>
      </c>
      <c r="K427" s="24">
        <v>2754.1870936623336</v>
      </c>
      <c r="L427" s="24">
        <v>0</v>
      </c>
    </row>
    <row r="428" spans="1:12">
      <c r="A428" s="10" t="str">
        <f t="shared" ca="1" si="18"/>
        <v/>
      </c>
      <c r="B428" s="82" t="s">
        <v>274</v>
      </c>
      <c r="C428" s="10" t="s">
        <v>1277</v>
      </c>
      <c r="D428" s="10" t="s">
        <v>47</v>
      </c>
      <c r="E428" s="83" t="s">
        <v>511</v>
      </c>
      <c r="F428" s="84">
        <v>1</v>
      </c>
      <c r="G428" s="24">
        <f t="shared" si="19"/>
        <v>3442.7338670779163</v>
      </c>
      <c r="H428" s="24">
        <f t="shared" si="20"/>
        <v>0</v>
      </c>
      <c r="I428" s="24">
        <v>3442.7338670779163</v>
      </c>
      <c r="J428" s="24">
        <v>0</v>
      </c>
      <c r="K428" s="24">
        <v>3442.7338670779163</v>
      </c>
      <c r="L428" s="24">
        <v>0</v>
      </c>
    </row>
    <row r="429" spans="1:12">
      <c r="A429" s="10" t="str">
        <f t="shared" ca="1" si="18"/>
        <v/>
      </c>
      <c r="B429" s="82" t="s">
        <v>274</v>
      </c>
      <c r="C429" s="10" t="s">
        <v>1278</v>
      </c>
      <c r="D429" s="10" t="s">
        <v>47</v>
      </c>
      <c r="E429" s="83" t="s">
        <v>515</v>
      </c>
      <c r="F429" s="84">
        <v>1</v>
      </c>
      <c r="G429" s="24">
        <f t="shared" si="19"/>
        <v>2754.1870936623336</v>
      </c>
      <c r="H429" s="24">
        <f t="shared" si="20"/>
        <v>0</v>
      </c>
      <c r="I429" s="24">
        <v>2754.1870936623336</v>
      </c>
      <c r="J429" s="24">
        <v>0</v>
      </c>
      <c r="K429" s="24">
        <v>2754.1870936623336</v>
      </c>
      <c r="L429" s="24">
        <v>0</v>
      </c>
    </row>
    <row r="430" spans="1:12">
      <c r="A430" s="10">
        <f t="shared" ca="1" si="18"/>
        <v>430</v>
      </c>
      <c r="B430" s="82" t="s">
        <v>282</v>
      </c>
      <c r="C430" s="10" t="s">
        <v>1279</v>
      </c>
      <c r="D430" s="10" t="s">
        <v>47</v>
      </c>
      <c r="E430" s="83" t="s">
        <v>640</v>
      </c>
      <c r="F430" s="84">
        <v>1</v>
      </c>
      <c r="G430" s="24">
        <f t="shared" si="19"/>
        <v>288.64307985685491</v>
      </c>
      <c r="H430" s="24">
        <f t="shared" si="20"/>
        <v>0</v>
      </c>
      <c r="I430" s="24">
        <v>288.64307985685491</v>
      </c>
      <c r="J430" s="24">
        <v>0</v>
      </c>
      <c r="K430" s="24">
        <v>288.64307985685491</v>
      </c>
      <c r="L430" s="24">
        <v>0</v>
      </c>
    </row>
    <row r="431" spans="1:12">
      <c r="A431" s="10">
        <f t="shared" ca="1" si="18"/>
        <v>433</v>
      </c>
      <c r="B431" s="82" t="s">
        <v>477</v>
      </c>
      <c r="C431" s="10" t="s">
        <v>1280</v>
      </c>
      <c r="D431" s="10" t="s">
        <v>47</v>
      </c>
      <c r="E431" s="83"/>
      <c r="F431" s="84">
        <v>2</v>
      </c>
      <c r="G431" s="24">
        <f t="shared" si="19"/>
        <v>4033.6677765527902</v>
      </c>
      <c r="H431" s="24">
        <f t="shared" si="20"/>
        <v>0</v>
      </c>
      <c r="I431" s="24">
        <v>4033.6677765527902</v>
      </c>
      <c r="J431" s="24">
        <v>0</v>
      </c>
      <c r="K431" s="24">
        <v>4033.6677765527902</v>
      </c>
      <c r="L431" s="24">
        <v>0</v>
      </c>
    </row>
    <row r="432" spans="1:12">
      <c r="A432" s="10" t="str">
        <f t="shared" ca="1" si="18"/>
        <v/>
      </c>
      <c r="B432" s="82" t="s">
        <v>477</v>
      </c>
      <c r="C432" s="10" t="s">
        <v>1281</v>
      </c>
      <c r="D432" s="10" t="s">
        <v>47</v>
      </c>
      <c r="E432" s="83" t="s">
        <v>573</v>
      </c>
      <c r="F432" s="84">
        <v>1</v>
      </c>
      <c r="G432" s="24">
        <f t="shared" si="19"/>
        <v>4033.6677765527902</v>
      </c>
      <c r="H432" s="24">
        <f t="shared" si="20"/>
        <v>0</v>
      </c>
      <c r="I432" s="24">
        <v>4033.6677765527902</v>
      </c>
      <c r="J432" s="24">
        <v>0</v>
      </c>
      <c r="K432" s="24">
        <v>4033.6677765527902</v>
      </c>
      <c r="L432" s="24">
        <v>0</v>
      </c>
    </row>
    <row r="433" spans="1:12">
      <c r="A433" s="10" t="str">
        <f t="shared" ca="1" si="18"/>
        <v/>
      </c>
      <c r="B433" s="82" t="s">
        <v>477</v>
      </c>
      <c r="C433" s="10" t="s">
        <v>1282</v>
      </c>
      <c r="D433" s="10" t="s">
        <v>47</v>
      </c>
      <c r="E433" s="83" t="s">
        <v>601</v>
      </c>
      <c r="F433" s="84">
        <v>4</v>
      </c>
      <c r="G433" s="24">
        <f t="shared" si="19"/>
        <v>4033.6677765527902</v>
      </c>
      <c r="H433" s="24">
        <f t="shared" si="20"/>
        <v>0</v>
      </c>
      <c r="I433" s="24">
        <v>4033.6677765527902</v>
      </c>
      <c r="J433" s="24">
        <v>0</v>
      </c>
      <c r="K433" s="24">
        <v>4033.6677765527902</v>
      </c>
      <c r="L433" s="24">
        <v>0</v>
      </c>
    </row>
    <row r="434" spans="1:12">
      <c r="A434" s="10">
        <f t="shared" ca="1" si="18"/>
        <v>434</v>
      </c>
      <c r="B434" s="82" t="s">
        <v>478</v>
      </c>
      <c r="C434" s="10" t="s">
        <v>1283</v>
      </c>
      <c r="D434" s="10" t="s">
        <v>47</v>
      </c>
      <c r="E434" s="83" t="s">
        <v>522</v>
      </c>
      <c r="F434" s="84">
        <v>2</v>
      </c>
      <c r="G434" s="24">
        <f t="shared" si="19"/>
        <v>3807</v>
      </c>
      <c r="H434" s="24">
        <f t="shared" si="20"/>
        <v>0</v>
      </c>
      <c r="I434" s="24">
        <v>3807</v>
      </c>
      <c r="J434" s="24">
        <v>0</v>
      </c>
      <c r="K434" s="24">
        <v>3807</v>
      </c>
      <c r="L434" s="24">
        <v>0</v>
      </c>
    </row>
    <row r="435" spans="1:12">
      <c r="A435" s="10">
        <f t="shared" ca="1" si="18"/>
        <v>435</v>
      </c>
      <c r="B435" s="82" t="s">
        <v>719</v>
      </c>
      <c r="C435" s="10" t="s">
        <v>1284</v>
      </c>
      <c r="D435" s="10" t="s">
        <v>37</v>
      </c>
      <c r="E435" s="83" t="s">
        <v>803</v>
      </c>
      <c r="F435" s="84">
        <v>30</v>
      </c>
      <c r="G435" s="24">
        <f t="shared" si="19"/>
        <v>162</v>
      </c>
      <c r="H435" s="24">
        <f t="shared" si="20"/>
        <v>900</v>
      </c>
      <c r="I435" s="24">
        <v>162</v>
      </c>
      <c r="J435" s="24">
        <v>900</v>
      </c>
      <c r="K435" s="24">
        <v>180</v>
      </c>
      <c r="L435" s="24">
        <v>1200</v>
      </c>
    </row>
    <row r="436" spans="1:12">
      <c r="A436" s="10">
        <f t="shared" ca="1" si="18"/>
        <v>436</v>
      </c>
      <c r="B436" s="82" t="s">
        <v>720</v>
      </c>
      <c r="C436" s="10" t="s">
        <v>1285</v>
      </c>
      <c r="D436" s="10" t="s">
        <v>51</v>
      </c>
      <c r="E436" s="83" t="s">
        <v>804</v>
      </c>
      <c r="F436" s="84">
        <v>29</v>
      </c>
      <c r="G436" s="24">
        <f t="shared" si="19"/>
        <v>72</v>
      </c>
      <c r="H436" s="24">
        <f t="shared" si="20"/>
        <v>360</v>
      </c>
      <c r="I436" s="24">
        <v>72</v>
      </c>
      <c r="J436" s="24">
        <v>360</v>
      </c>
      <c r="K436" s="24">
        <v>80</v>
      </c>
      <c r="L436" s="24">
        <v>400</v>
      </c>
    </row>
    <row r="437" spans="1:12">
      <c r="A437" s="10">
        <f t="shared" ca="1" si="18"/>
        <v>437</v>
      </c>
      <c r="B437" s="82" t="s">
        <v>479</v>
      </c>
      <c r="C437" s="10" t="s">
        <v>1286</v>
      </c>
      <c r="D437" s="10" t="s">
        <v>51</v>
      </c>
      <c r="E437" s="83" t="s">
        <v>641</v>
      </c>
      <c r="F437" s="84">
        <v>21</v>
      </c>
      <c r="G437" s="24">
        <f t="shared" si="19"/>
        <v>105</v>
      </c>
      <c r="H437" s="24">
        <f t="shared" si="20"/>
        <v>1275</v>
      </c>
      <c r="I437" s="24">
        <v>105</v>
      </c>
      <c r="J437" s="24">
        <v>1275</v>
      </c>
      <c r="K437" s="24">
        <v>150</v>
      </c>
      <c r="L437" s="24">
        <v>2550</v>
      </c>
    </row>
    <row r="438" spans="1:12">
      <c r="A438" s="10">
        <f t="shared" ca="1" si="18"/>
        <v>438</v>
      </c>
      <c r="B438" s="82" t="s">
        <v>209</v>
      </c>
      <c r="C438" s="10" t="s">
        <v>1287</v>
      </c>
      <c r="D438" s="10" t="s">
        <v>52</v>
      </c>
      <c r="E438" s="83" t="s">
        <v>642</v>
      </c>
      <c r="F438" s="84">
        <v>72</v>
      </c>
      <c r="G438" s="24">
        <f t="shared" si="19"/>
        <v>56</v>
      </c>
      <c r="H438" s="24">
        <f t="shared" si="20"/>
        <v>4500</v>
      </c>
      <c r="I438" s="24">
        <v>56</v>
      </c>
      <c r="J438" s="24">
        <v>4500</v>
      </c>
      <c r="K438" s="24">
        <v>80</v>
      </c>
      <c r="L438" s="24">
        <v>5000</v>
      </c>
    </row>
    <row r="439" spans="1:12">
      <c r="A439" s="10">
        <f t="shared" ca="1" si="18"/>
        <v>439</v>
      </c>
      <c r="B439" s="82" t="s">
        <v>205</v>
      </c>
      <c r="C439" s="10" t="s">
        <v>1288</v>
      </c>
      <c r="D439" s="10" t="s">
        <v>49</v>
      </c>
      <c r="E439" s="83" t="s">
        <v>643</v>
      </c>
      <c r="F439" s="84">
        <v>52</v>
      </c>
      <c r="G439" s="24">
        <f t="shared" si="19"/>
        <v>9.379999999999999</v>
      </c>
      <c r="H439" s="24">
        <f t="shared" si="20"/>
        <v>134</v>
      </c>
      <c r="I439" s="24">
        <v>9.379999999999999</v>
      </c>
      <c r="J439" s="24">
        <v>134</v>
      </c>
      <c r="K439" s="24">
        <v>13.4</v>
      </c>
      <c r="L439" s="24">
        <v>335</v>
      </c>
    </row>
    <row r="440" spans="1:12">
      <c r="A440" s="10">
        <f t="shared" ca="1" si="18"/>
        <v>440</v>
      </c>
      <c r="B440" s="82" t="s">
        <v>206</v>
      </c>
      <c r="C440" s="10" t="s">
        <v>1289</v>
      </c>
      <c r="D440" s="10" t="s">
        <v>50</v>
      </c>
      <c r="E440" s="83" t="s">
        <v>644</v>
      </c>
      <c r="F440" s="84">
        <v>30</v>
      </c>
      <c r="G440" s="24">
        <f t="shared" si="19"/>
        <v>3.6</v>
      </c>
      <c r="H440" s="24">
        <f t="shared" si="20"/>
        <v>22.959999999999997</v>
      </c>
      <c r="I440" s="24">
        <v>3.6</v>
      </c>
      <c r="J440" s="24">
        <v>22.959999999999997</v>
      </c>
      <c r="K440" s="24">
        <v>4</v>
      </c>
      <c r="L440" s="24">
        <v>32.799999999999997</v>
      </c>
    </row>
    <row r="441" spans="1:12">
      <c r="A441" s="10">
        <f t="shared" ca="1" si="18"/>
        <v>441</v>
      </c>
      <c r="B441" s="82" t="s">
        <v>721</v>
      </c>
      <c r="C441" s="10" t="s">
        <v>1290</v>
      </c>
      <c r="D441" s="10" t="s">
        <v>50</v>
      </c>
      <c r="E441" s="83" t="s">
        <v>805</v>
      </c>
      <c r="F441" s="84">
        <v>30</v>
      </c>
      <c r="G441" s="24">
        <f t="shared" si="19"/>
        <v>875</v>
      </c>
      <c r="H441" s="24">
        <f t="shared" si="20"/>
        <v>9870</v>
      </c>
      <c r="I441" s="24">
        <v>875</v>
      </c>
      <c r="J441" s="24">
        <v>9870</v>
      </c>
      <c r="K441" s="24">
        <v>1250</v>
      </c>
      <c r="L441" s="24">
        <v>14100</v>
      </c>
    </row>
    <row r="442" spans="1:12">
      <c r="A442" s="10">
        <f t="shared" ca="1" si="18"/>
        <v>442</v>
      </c>
      <c r="B442" s="82" t="s">
        <v>480</v>
      </c>
      <c r="C442" s="10" t="s">
        <v>1291</v>
      </c>
      <c r="D442" s="10" t="s">
        <v>50</v>
      </c>
      <c r="E442" s="83" t="s">
        <v>645</v>
      </c>
      <c r="F442" s="84">
        <v>52</v>
      </c>
      <c r="G442" s="24">
        <f t="shared" si="19"/>
        <v>8.1</v>
      </c>
      <c r="H442" s="24">
        <f t="shared" si="20"/>
        <v>52.5</v>
      </c>
      <c r="I442" s="24">
        <v>8.1</v>
      </c>
      <c r="J442" s="24">
        <v>52.5</v>
      </c>
      <c r="K442" s="24">
        <v>9</v>
      </c>
      <c r="L442" s="24">
        <v>75</v>
      </c>
    </row>
    <row r="443" spans="1:12">
      <c r="A443" s="10">
        <f t="shared" ca="1" si="18"/>
        <v>443</v>
      </c>
      <c r="B443" s="82" t="s">
        <v>722</v>
      </c>
      <c r="C443" s="10" t="s">
        <v>1292</v>
      </c>
      <c r="D443" s="10" t="s">
        <v>50</v>
      </c>
      <c r="E443" s="83" t="s">
        <v>806</v>
      </c>
      <c r="F443" s="84">
        <v>29</v>
      </c>
      <c r="G443" s="24">
        <f t="shared" si="19"/>
        <v>18</v>
      </c>
      <c r="H443" s="24">
        <f t="shared" si="20"/>
        <v>280</v>
      </c>
      <c r="I443" s="24">
        <v>18</v>
      </c>
      <c r="J443" s="24">
        <v>280</v>
      </c>
      <c r="K443" s="24">
        <v>20</v>
      </c>
      <c r="L443" s="24">
        <v>400</v>
      </c>
    </row>
    <row r="444" spans="1:12">
      <c r="A444" s="10">
        <f t="shared" ca="1" si="18"/>
        <v>446</v>
      </c>
      <c r="B444" s="82" t="s">
        <v>481</v>
      </c>
      <c r="C444" s="10" t="s">
        <v>1293</v>
      </c>
      <c r="D444" s="10" t="s">
        <v>51</v>
      </c>
      <c r="E444" s="83" t="s">
        <v>760</v>
      </c>
      <c r="F444" s="84">
        <v>30</v>
      </c>
      <c r="G444" s="24">
        <f t="shared" si="19"/>
        <v>720</v>
      </c>
      <c r="H444" s="24">
        <f t="shared" si="20"/>
        <v>2100</v>
      </c>
      <c r="I444" s="24">
        <v>720</v>
      </c>
      <c r="J444" s="24">
        <v>2100</v>
      </c>
      <c r="K444" s="24">
        <v>900</v>
      </c>
      <c r="L444" s="24">
        <v>3000</v>
      </c>
    </row>
    <row r="445" spans="1:12">
      <c r="A445" s="10" t="str">
        <f t="shared" ca="1" si="18"/>
        <v/>
      </c>
      <c r="B445" s="82" t="s">
        <v>481</v>
      </c>
      <c r="C445" s="10" t="s">
        <v>1294</v>
      </c>
      <c r="D445" s="10" t="s">
        <v>51</v>
      </c>
      <c r="E445" s="83" t="s">
        <v>646</v>
      </c>
      <c r="F445" s="84">
        <v>21</v>
      </c>
      <c r="G445" s="24">
        <f t="shared" si="19"/>
        <v>252.00000000000006</v>
      </c>
      <c r="H445" s="24">
        <f t="shared" si="20"/>
        <v>735</v>
      </c>
      <c r="I445" s="24">
        <v>252.00000000000006</v>
      </c>
      <c r="J445" s="24">
        <v>735</v>
      </c>
      <c r="K445" s="24">
        <v>315.00000000000006</v>
      </c>
      <c r="L445" s="24">
        <v>1050</v>
      </c>
    </row>
    <row r="446" spans="1:12">
      <c r="A446" s="10" t="str">
        <f t="shared" ca="1" si="18"/>
        <v/>
      </c>
      <c r="B446" s="82" t="s">
        <v>481</v>
      </c>
      <c r="C446" s="10" t="s">
        <v>1295</v>
      </c>
      <c r="D446" s="10" t="s">
        <v>51</v>
      </c>
      <c r="E446" s="83" t="s">
        <v>757</v>
      </c>
      <c r="F446" s="84">
        <v>30</v>
      </c>
      <c r="G446" s="24">
        <f t="shared" si="19"/>
        <v>360</v>
      </c>
      <c r="H446" s="24">
        <f t="shared" si="20"/>
        <v>1050</v>
      </c>
      <c r="I446" s="24">
        <v>360</v>
      </c>
      <c r="J446" s="24">
        <v>1050</v>
      </c>
      <c r="K446" s="24">
        <v>450</v>
      </c>
      <c r="L446" s="24">
        <v>1500</v>
      </c>
    </row>
    <row r="447" spans="1:12">
      <c r="A447" s="10">
        <f t="shared" ca="1" si="18"/>
        <v>447</v>
      </c>
      <c r="B447" s="82" t="s">
        <v>723</v>
      </c>
      <c r="C447" s="10" t="s">
        <v>1296</v>
      </c>
      <c r="D447" s="10" t="s">
        <v>51</v>
      </c>
      <c r="E447" s="83" t="s">
        <v>807</v>
      </c>
      <c r="F447" s="84">
        <v>30</v>
      </c>
      <c r="G447" s="24">
        <f t="shared" si="19"/>
        <v>180</v>
      </c>
      <c r="H447" s="24">
        <f t="shared" si="20"/>
        <v>525</v>
      </c>
      <c r="I447" s="24">
        <v>180</v>
      </c>
      <c r="J447" s="24">
        <v>525</v>
      </c>
      <c r="K447" s="24">
        <v>225</v>
      </c>
      <c r="L447" s="24">
        <v>750</v>
      </c>
    </row>
    <row r="448" spans="1:12">
      <c r="A448" s="10">
        <f t="shared" ca="1" si="18"/>
        <v>448</v>
      </c>
      <c r="B448" s="82" t="s">
        <v>213</v>
      </c>
      <c r="C448" s="10" t="s">
        <v>1297</v>
      </c>
      <c r="D448" s="10" t="s">
        <v>50</v>
      </c>
      <c r="E448" s="83" t="s">
        <v>808</v>
      </c>
      <c r="F448" s="84">
        <v>45</v>
      </c>
      <c r="G448" s="24">
        <f t="shared" si="19"/>
        <v>1200</v>
      </c>
      <c r="H448" s="24">
        <f t="shared" si="20"/>
        <v>72000</v>
      </c>
      <c r="I448" s="24">
        <v>1200</v>
      </c>
      <c r="J448" s="24">
        <v>72000</v>
      </c>
      <c r="K448" s="24">
        <v>6000</v>
      </c>
      <c r="L448" s="24">
        <v>360000</v>
      </c>
    </row>
    <row r="449" spans="1:12">
      <c r="A449" s="10">
        <f t="shared" ca="1" si="18"/>
        <v>449</v>
      </c>
      <c r="B449" s="82" t="s">
        <v>724</v>
      </c>
      <c r="C449" s="10" t="s">
        <v>1298</v>
      </c>
      <c r="D449" s="10" t="s">
        <v>50</v>
      </c>
      <c r="E449" s="83" t="s">
        <v>809</v>
      </c>
      <c r="F449" s="84">
        <v>28</v>
      </c>
      <c r="G449" s="24">
        <f t="shared" si="19"/>
        <v>400</v>
      </c>
      <c r="H449" s="24">
        <f t="shared" si="20"/>
        <v>4600</v>
      </c>
      <c r="I449" s="24">
        <v>400</v>
      </c>
      <c r="J449" s="24">
        <v>4600</v>
      </c>
      <c r="K449" s="24">
        <v>2000</v>
      </c>
      <c r="L449" s="24">
        <v>23000</v>
      </c>
    </row>
    <row r="450" spans="1:12">
      <c r="A450" s="10">
        <f t="shared" ref="A450:A513" ca="1" si="21">IF(B449=B450,"",ROW(A450)-1+MATCH(B450,INDIRECT("B"&amp;ROW(A450)&amp;":"&amp;"B"&amp;$A$1),1))</f>
        <v>450</v>
      </c>
      <c r="B450" s="82" t="s">
        <v>725</v>
      </c>
      <c r="C450" s="10" t="s">
        <v>1299</v>
      </c>
      <c r="D450" s="10" t="s">
        <v>36</v>
      </c>
      <c r="E450" s="83" t="s">
        <v>810</v>
      </c>
      <c r="F450" s="84">
        <v>30</v>
      </c>
      <c r="G450" s="24">
        <f t="shared" ref="G450:G513" si="22">IF($N$2=1,I450,K450)</f>
        <v>48</v>
      </c>
      <c r="H450" s="24">
        <f t="shared" ref="H450:H513" si="23">IF($N$2=1,J450,L450)</f>
        <v>1125</v>
      </c>
      <c r="I450" s="24">
        <v>48</v>
      </c>
      <c r="J450" s="24">
        <v>1125</v>
      </c>
      <c r="K450" s="24">
        <v>60</v>
      </c>
      <c r="L450" s="24">
        <v>1500</v>
      </c>
    </row>
    <row r="451" spans="1:12">
      <c r="A451" s="10">
        <f t="shared" ca="1" si="21"/>
        <v>453</v>
      </c>
      <c r="B451" s="82" t="s">
        <v>56</v>
      </c>
      <c r="C451" s="10" t="s">
        <v>1300</v>
      </c>
      <c r="D451" s="10" t="s">
        <v>36</v>
      </c>
      <c r="E451" s="83" t="s">
        <v>647</v>
      </c>
      <c r="F451" s="84">
        <v>27</v>
      </c>
      <c r="G451" s="24">
        <f t="shared" si="22"/>
        <v>320</v>
      </c>
      <c r="H451" s="24">
        <f t="shared" si="23"/>
        <v>6750</v>
      </c>
      <c r="I451" s="24">
        <v>320</v>
      </c>
      <c r="J451" s="24">
        <v>6750</v>
      </c>
      <c r="K451" s="24">
        <v>400</v>
      </c>
      <c r="L451" s="24">
        <v>9000</v>
      </c>
    </row>
    <row r="452" spans="1:12">
      <c r="A452" s="10" t="str">
        <f t="shared" ca="1" si="21"/>
        <v/>
      </c>
      <c r="B452" s="82" t="s">
        <v>56</v>
      </c>
      <c r="C452" s="10" t="s">
        <v>1301</v>
      </c>
      <c r="D452" s="10" t="s">
        <v>36</v>
      </c>
      <c r="E452" s="83" t="s">
        <v>648</v>
      </c>
      <c r="F452" s="84">
        <v>27</v>
      </c>
      <c r="G452" s="24">
        <f t="shared" si="22"/>
        <v>320</v>
      </c>
      <c r="H452" s="24">
        <f t="shared" si="23"/>
        <v>6750</v>
      </c>
      <c r="I452" s="24">
        <v>320</v>
      </c>
      <c r="J452" s="24">
        <v>6750</v>
      </c>
      <c r="K452" s="24">
        <v>400</v>
      </c>
      <c r="L452" s="24">
        <v>9000</v>
      </c>
    </row>
    <row r="453" spans="1:12">
      <c r="A453" s="10" t="str">
        <f t="shared" ca="1" si="21"/>
        <v/>
      </c>
      <c r="B453" s="82" t="s">
        <v>56</v>
      </c>
      <c r="C453" s="10" t="s">
        <v>1302</v>
      </c>
      <c r="D453" s="10" t="s">
        <v>36</v>
      </c>
      <c r="E453" s="83" t="s">
        <v>649</v>
      </c>
      <c r="F453" s="84">
        <v>29</v>
      </c>
      <c r="G453" s="24">
        <f t="shared" si="22"/>
        <v>160</v>
      </c>
      <c r="H453" s="24">
        <f t="shared" si="23"/>
        <v>3375</v>
      </c>
      <c r="I453" s="24">
        <v>160</v>
      </c>
      <c r="J453" s="24">
        <v>3375</v>
      </c>
      <c r="K453" s="24">
        <v>200</v>
      </c>
      <c r="L453" s="24">
        <v>4500</v>
      </c>
    </row>
    <row r="454" spans="1:12">
      <c r="A454" s="10">
        <f t="shared" ca="1" si="21"/>
        <v>460</v>
      </c>
      <c r="B454" s="82" t="s">
        <v>223</v>
      </c>
      <c r="C454" s="10" t="s">
        <v>1303</v>
      </c>
      <c r="D454" s="10" t="s">
        <v>36</v>
      </c>
      <c r="E454" s="83" t="s">
        <v>811</v>
      </c>
      <c r="F454" s="84">
        <v>27</v>
      </c>
      <c r="G454" s="24">
        <f t="shared" si="22"/>
        <v>36</v>
      </c>
      <c r="H454" s="24">
        <f t="shared" si="23"/>
        <v>1350</v>
      </c>
      <c r="I454" s="24">
        <v>36</v>
      </c>
      <c r="J454" s="24">
        <v>1350</v>
      </c>
      <c r="K454" s="24">
        <v>45</v>
      </c>
      <c r="L454" s="24">
        <v>1800</v>
      </c>
    </row>
    <row r="455" spans="1:12">
      <c r="A455" s="10" t="str">
        <f t="shared" ca="1" si="21"/>
        <v/>
      </c>
      <c r="B455" s="82" t="s">
        <v>223</v>
      </c>
      <c r="C455" s="10" t="s">
        <v>1304</v>
      </c>
      <c r="D455" s="10" t="s">
        <v>36</v>
      </c>
      <c r="E455" s="83" t="s">
        <v>812</v>
      </c>
      <c r="F455" s="84">
        <v>27</v>
      </c>
      <c r="G455" s="24">
        <f t="shared" si="22"/>
        <v>60</v>
      </c>
      <c r="H455" s="24">
        <f t="shared" si="23"/>
        <v>2250</v>
      </c>
      <c r="I455" s="24">
        <v>60</v>
      </c>
      <c r="J455" s="24">
        <v>2250</v>
      </c>
      <c r="K455" s="24">
        <v>75</v>
      </c>
      <c r="L455" s="24">
        <v>3000</v>
      </c>
    </row>
    <row r="456" spans="1:12">
      <c r="A456" s="10" t="str">
        <f t="shared" ca="1" si="21"/>
        <v/>
      </c>
      <c r="B456" s="82" t="s">
        <v>223</v>
      </c>
      <c r="C456" s="10" t="s">
        <v>1305</v>
      </c>
      <c r="D456" s="10" t="s">
        <v>36</v>
      </c>
      <c r="E456" s="83" t="s">
        <v>650</v>
      </c>
      <c r="F456" s="84">
        <v>27</v>
      </c>
      <c r="G456" s="24">
        <f t="shared" si="22"/>
        <v>43.2</v>
      </c>
      <c r="H456" s="24">
        <f t="shared" si="23"/>
        <v>1620</v>
      </c>
      <c r="I456" s="24">
        <v>43.2</v>
      </c>
      <c r="J456" s="24">
        <v>1620</v>
      </c>
      <c r="K456" s="24">
        <v>54</v>
      </c>
      <c r="L456" s="24">
        <v>2160</v>
      </c>
    </row>
    <row r="457" spans="1:12">
      <c r="A457" s="10" t="str">
        <f t="shared" ca="1" si="21"/>
        <v/>
      </c>
      <c r="B457" s="82" t="s">
        <v>223</v>
      </c>
      <c r="C457" s="10" t="s">
        <v>1306</v>
      </c>
      <c r="D457" s="10" t="s">
        <v>36</v>
      </c>
      <c r="E457" s="83" t="s">
        <v>813</v>
      </c>
      <c r="F457" s="84">
        <v>30</v>
      </c>
      <c r="G457" s="24">
        <f t="shared" si="22"/>
        <v>21.6</v>
      </c>
      <c r="H457" s="24">
        <f t="shared" si="23"/>
        <v>810</v>
      </c>
      <c r="I457" s="24">
        <v>21.6</v>
      </c>
      <c r="J457" s="24">
        <v>810</v>
      </c>
      <c r="K457" s="24">
        <v>27</v>
      </c>
      <c r="L457" s="24">
        <v>1080</v>
      </c>
    </row>
    <row r="458" spans="1:12">
      <c r="A458" s="10" t="str">
        <f t="shared" ca="1" si="21"/>
        <v/>
      </c>
      <c r="B458" s="82" t="s">
        <v>223</v>
      </c>
      <c r="C458" s="10" t="s">
        <v>1307</v>
      </c>
      <c r="D458" s="10" t="s">
        <v>36</v>
      </c>
      <c r="E458" s="83" t="s">
        <v>651</v>
      </c>
      <c r="F458" s="84">
        <v>27</v>
      </c>
      <c r="G458" s="24">
        <f t="shared" si="22"/>
        <v>31.200000000000003</v>
      </c>
      <c r="H458" s="24">
        <f t="shared" si="23"/>
        <v>1170</v>
      </c>
      <c r="I458" s="24">
        <v>31.200000000000003</v>
      </c>
      <c r="J458" s="24">
        <v>1170</v>
      </c>
      <c r="K458" s="24">
        <v>39</v>
      </c>
      <c r="L458" s="24">
        <v>1560</v>
      </c>
    </row>
    <row r="459" spans="1:12">
      <c r="A459" s="10" t="str">
        <f t="shared" ca="1" si="21"/>
        <v/>
      </c>
      <c r="B459" s="82" t="s">
        <v>223</v>
      </c>
      <c r="C459" s="10" t="s">
        <v>1308</v>
      </c>
      <c r="D459" s="10" t="s">
        <v>36</v>
      </c>
      <c r="E459" s="83" t="s">
        <v>652</v>
      </c>
      <c r="F459" s="84">
        <v>27</v>
      </c>
      <c r="G459" s="24">
        <f t="shared" si="22"/>
        <v>7.2</v>
      </c>
      <c r="H459" s="24">
        <f t="shared" si="23"/>
        <v>270</v>
      </c>
      <c r="I459" s="24">
        <v>7.2</v>
      </c>
      <c r="J459" s="24">
        <v>270</v>
      </c>
      <c r="K459" s="24">
        <v>9</v>
      </c>
      <c r="L459" s="24">
        <v>360</v>
      </c>
    </row>
    <row r="460" spans="1:12">
      <c r="A460" s="10" t="str">
        <f t="shared" ca="1" si="21"/>
        <v/>
      </c>
      <c r="B460" s="82" t="s">
        <v>223</v>
      </c>
      <c r="C460" s="10" t="s">
        <v>1309</v>
      </c>
      <c r="D460" s="10" t="s">
        <v>36</v>
      </c>
      <c r="E460" s="83" t="s">
        <v>814</v>
      </c>
      <c r="F460" s="84">
        <v>27</v>
      </c>
      <c r="G460" s="24">
        <f t="shared" si="22"/>
        <v>14.4</v>
      </c>
      <c r="H460" s="24">
        <f t="shared" si="23"/>
        <v>540</v>
      </c>
      <c r="I460" s="24">
        <v>14.4</v>
      </c>
      <c r="J460" s="24">
        <v>540</v>
      </c>
      <c r="K460" s="24">
        <v>18</v>
      </c>
      <c r="L460" s="24">
        <v>720</v>
      </c>
    </row>
    <row r="461" spans="1:12">
      <c r="A461" s="10">
        <f t="shared" ca="1" si="21"/>
        <v>461</v>
      </c>
      <c r="B461" s="82" t="s">
        <v>216</v>
      </c>
      <c r="C461" s="10" t="s">
        <v>1310</v>
      </c>
      <c r="D461" s="10" t="s">
        <v>53</v>
      </c>
      <c r="E461" s="83" t="s">
        <v>653</v>
      </c>
      <c r="F461" s="84">
        <v>29</v>
      </c>
      <c r="G461" s="24">
        <f t="shared" si="22"/>
        <v>9.75</v>
      </c>
      <c r="H461" s="24">
        <f t="shared" si="23"/>
        <v>200</v>
      </c>
      <c r="I461" s="24">
        <v>9.75</v>
      </c>
      <c r="J461" s="24">
        <v>200</v>
      </c>
      <c r="K461" s="24">
        <v>13</v>
      </c>
      <c r="L461" s="24">
        <v>400</v>
      </c>
    </row>
    <row r="462" spans="1:12">
      <c r="A462" s="10">
        <f t="shared" ca="1" si="21"/>
        <v>462</v>
      </c>
      <c r="B462" s="82" t="s">
        <v>482</v>
      </c>
      <c r="C462" s="10" t="s">
        <v>1311</v>
      </c>
      <c r="D462" s="10" t="s">
        <v>53</v>
      </c>
      <c r="E462" s="83" t="s">
        <v>654</v>
      </c>
      <c r="F462" s="84">
        <v>51</v>
      </c>
      <c r="G462" s="24">
        <f t="shared" si="22"/>
        <v>2.16</v>
      </c>
      <c r="H462" s="24">
        <f t="shared" si="23"/>
        <v>15</v>
      </c>
      <c r="I462" s="24">
        <v>2.16</v>
      </c>
      <c r="J462" s="24">
        <v>15</v>
      </c>
      <c r="K462" s="24">
        <v>2.4</v>
      </c>
      <c r="L462" s="24">
        <v>30</v>
      </c>
    </row>
    <row r="463" spans="1:12">
      <c r="A463" s="10">
        <f t="shared" ca="1" si="21"/>
        <v>463</v>
      </c>
      <c r="B463" s="82" t="s">
        <v>726</v>
      </c>
      <c r="C463" s="10" t="s">
        <v>1312</v>
      </c>
      <c r="D463" s="10" t="s">
        <v>51</v>
      </c>
      <c r="E463" s="83" t="s">
        <v>815</v>
      </c>
      <c r="F463" s="84">
        <v>30</v>
      </c>
      <c r="G463" s="24">
        <f t="shared" si="22"/>
        <v>32</v>
      </c>
      <c r="H463" s="24">
        <f t="shared" si="23"/>
        <v>375</v>
      </c>
      <c r="I463" s="24">
        <v>32</v>
      </c>
      <c r="J463" s="24">
        <v>375</v>
      </c>
      <c r="K463" s="24">
        <v>40</v>
      </c>
      <c r="L463" s="24">
        <v>500</v>
      </c>
    </row>
    <row r="464" spans="1:12">
      <c r="A464" s="10">
        <f t="shared" ca="1" si="21"/>
        <v>464</v>
      </c>
      <c r="B464" s="82" t="s">
        <v>222</v>
      </c>
      <c r="C464" s="10" t="s">
        <v>1313</v>
      </c>
      <c r="D464" s="10" t="s">
        <v>50</v>
      </c>
      <c r="E464" s="83" t="s">
        <v>655</v>
      </c>
      <c r="F464" s="84">
        <v>25</v>
      </c>
      <c r="G464" s="24">
        <f t="shared" si="22"/>
        <v>25</v>
      </c>
      <c r="H464" s="24">
        <f t="shared" si="23"/>
        <v>600</v>
      </c>
      <c r="I464" s="24">
        <v>25</v>
      </c>
      <c r="J464" s="24">
        <v>600</v>
      </c>
      <c r="K464" s="24">
        <v>50</v>
      </c>
      <c r="L464" s="24">
        <v>1500</v>
      </c>
    </row>
    <row r="465" spans="1:12">
      <c r="A465" s="10">
        <f t="shared" ca="1" si="21"/>
        <v>465</v>
      </c>
      <c r="B465" s="82" t="s">
        <v>727</v>
      </c>
      <c r="C465" s="10" t="s">
        <v>1314</v>
      </c>
      <c r="D465" s="10" t="s">
        <v>53</v>
      </c>
      <c r="E465" s="83" t="s">
        <v>816</v>
      </c>
      <c r="F465" s="84">
        <v>30</v>
      </c>
      <c r="G465" s="24">
        <f t="shared" si="22"/>
        <v>540</v>
      </c>
      <c r="H465" s="24">
        <f t="shared" si="23"/>
        <v>14400</v>
      </c>
      <c r="I465" s="24">
        <v>540</v>
      </c>
      <c r="J465" s="24">
        <v>14400</v>
      </c>
      <c r="K465" s="24">
        <v>600</v>
      </c>
      <c r="L465" s="24">
        <v>18000</v>
      </c>
    </row>
    <row r="466" spans="1:12">
      <c r="A466" s="10">
        <f t="shared" ca="1" si="21"/>
        <v>466</v>
      </c>
      <c r="B466" s="82" t="s">
        <v>230</v>
      </c>
      <c r="C466" s="10" t="s">
        <v>1315</v>
      </c>
      <c r="D466" s="10" t="s">
        <v>50</v>
      </c>
      <c r="E466" s="83" t="s">
        <v>656</v>
      </c>
      <c r="F466" s="84">
        <v>29</v>
      </c>
      <c r="G466" s="24">
        <f t="shared" si="22"/>
        <v>90</v>
      </c>
      <c r="H466" s="24">
        <f t="shared" si="23"/>
        <v>4000</v>
      </c>
      <c r="I466" s="24">
        <v>90</v>
      </c>
      <c r="J466" s="24">
        <v>4000</v>
      </c>
      <c r="K466" s="24">
        <v>100</v>
      </c>
      <c r="L466" s="24">
        <v>5000</v>
      </c>
    </row>
    <row r="467" spans="1:12">
      <c r="A467" s="10">
        <f t="shared" ca="1" si="21"/>
        <v>467</v>
      </c>
      <c r="B467" s="82" t="s">
        <v>237</v>
      </c>
      <c r="C467" s="10" t="s">
        <v>1316</v>
      </c>
      <c r="D467" s="10" t="s">
        <v>50</v>
      </c>
      <c r="E467" s="83" t="s">
        <v>657</v>
      </c>
      <c r="F467" s="84">
        <v>28</v>
      </c>
      <c r="G467" s="24">
        <f t="shared" si="22"/>
        <v>22.4</v>
      </c>
      <c r="H467" s="24">
        <f t="shared" si="23"/>
        <v>448</v>
      </c>
      <c r="I467" s="24">
        <v>22.4</v>
      </c>
      <c r="J467" s="24">
        <v>448</v>
      </c>
      <c r="K467" s="24">
        <v>32</v>
      </c>
      <c r="L467" s="24">
        <v>1120</v>
      </c>
    </row>
    <row r="468" spans="1:12">
      <c r="A468" s="10">
        <f t="shared" ca="1" si="21"/>
        <v>468</v>
      </c>
      <c r="B468" s="82" t="s">
        <v>242</v>
      </c>
      <c r="C468" s="10" t="s">
        <v>1317</v>
      </c>
      <c r="D468" s="10" t="s">
        <v>50</v>
      </c>
      <c r="E468" s="83" t="s">
        <v>658</v>
      </c>
      <c r="F468" s="84">
        <v>22</v>
      </c>
      <c r="G468" s="24">
        <f t="shared" si="22"/>
        <v>232</v>
      </c>
      <c r="H468" s="24">
        <f t="shared" si="23"/>
        <v>6300</v>
      </c>
      <c r="I468" s="24">
        <v>232</v>
      </c>
      <c r="J468" s="24">
        <v>6300</v>
      </c>
      <c r="K468" s="24">
        <v>290</v>
      </c>
      <c r="L468" s="24">
        <v>9000</v>
      </c>
    </row>
    <row r="469" spans="1:12">
      <c r="A469" s="10">
        <f t="shared" ca="1" si="21"/>
        <v>469</v>
      </c>
      <c r="B469" s="82" t="s">
        <v>728</v>
      </c>
      <c r="C469" s="10" t="s">
        <v>1318</v>
      </c>
      <c r="D469" s="10" t="s">
        <v>50</v>
      </c>
      <c r="E469" s="83" t="s">
        <v>817</v>
      </c>
      <c r="F469" s="84">
        <v>30</v>
      </c>
      <c r="G469" s="24">
        <f t="shared" si="22"/>
        <v>27</v>
      </c>
      <c r="H469" s="24">
        <f t="shared" si="23"/>
        <v>720</v>
      </c>
      <c r="I469" s="24">
        <v>27</v>
      </c>
      <c r="J469" s="24">
        <v>720</v>
      </c>
      <c r="K469" s="24">
        <v>30</v>
      </c>
      <c r="L469" s="24">
        <v>900</v>
      </c>
    </row>
    <row r="470" spans="1:12">
      <c r="A470" s="10">
        <f t="shared" ca="1" si="21"/>
        <v>470</v>
      </c>
      <c r="B470" s="82" t="s">
        <v>729</v>
      </c>
      <c r="C470" s="10" t="s">
        <v>1319</v>
      </c>
      <c r="D470" s="10" t="s">
        <v>48</v>
      </c>
      <c r="E470" s="83" t="s">
        <v>818</v>
      </c>
      <c r="F470" s="84">
        <v>30</v>
      </c>
      <c r="G470" s="24">
        <f t="shared" si="22"/>
        <v>178.20000000000002</v>
      </c>
      <c r="H470" s="24">
        <f t="shared" si="23"/>
        <v>1050</v>
      </c>
      <c r="I470" s="24">
        <v>178.20000000000002</v>
      </c>
      <c r="J470" s="24">
        <v>1050</v>
      </c>
      <c r="K470" s="24">
        <v>198</v>
      </c>
      <c r="L470" s="24">
        <v>1500</v>
      </c>
    </row>
    <row r="471" spans="1:12">
      <c r="A471" s="10">
        <f t="shared" ca="1" si="21"/>
        <v>471</v>
      </c>
      <c r="B471" s="82" t="s">
        <v>57</v>
      </c>
      <c r="C471" s="10" t="s">
        <v>1320</v>
      </c>
      <c r="D471" s="10" t="s">
        <v>48</v>
      </c>
      <c r="E471" s="83" t="s">
        <v>659</v>
      </c>
      <c r="F471" s="84">
        <v>11</v>
      </c>
      <c r="G471" s="24">
        <f t="shared" si="22"/>
        <v>171</v>
      </c>
      <c r="H471" s="24">
        <f t="shared" si="23"/>
        <v>1800</v>
      </c>
      <c r="I471" s="24">
        <v>171</v>
      </c>
      <c r="J471" s="24">
        <v>1800</v>
      </c>
      <c r="K471" s="24">
        <v>190</v>
      </c>
      <c r="L471" s="24">
        <v>2400</v>
      </c>
    </row>
    <row r="472" spans="1:12">
      <c r="A472" s="10">
        <f t="shared" ca="1" si="21"/>
        <v>472</v>
      </c>
      <c r="B472" s="82" t="s">
        <v>58</v>
      </c>
      <c r="C472" s="10" t="s">
        <v>1321</v>
      </c>
      <c r="D472" s="10" t="s">
        <v>48</v>
      </c>
      <c r="E472" s="83" t="s">
        <v>660</v>
      </c>
      <c r="F472" s="84">
        <v>11</v>
      </c>
      <c r="G472" s="24">
        <f t="shared" si="22"/>
        <v>40.5</v>
      </c>
      <c r="H472" s="24">
        <f t="shared" si="23"/>
        <v>450</v>
      </c>
      <c r="I472" s="24">
        <v>40.5</v>
      </c>
      <c r="J472" s="24">
        <v>450</v>
      </c>
      <c r="K472" s="24">
        <v>45</v>
      </c>
      <c r="L472" s="24">
        <v>600</v>
      </c>
    </row>
    <row r="473" spans="1:12">
      <c r="A473" s="10">
        <f t="shared" ca="1" si="21"/>
        <v>474</v>
      </c>
      <c r="B473" s="82" t="s">
        <v>225</v>
      </c>
      <c r="C473" s="10" t="s">
        <v>1322</v>
      </c>
      <c r="D473" s="10" t="s">
        <v>53</v>
      </c>
      <c r="E473" s="83" t="s">
        <v>661</v>
      </c>
      <c r="F473" s="84">
        <v>41</v>
      </c>
      <c r="G473" s="24">
        <f t="shared" si="22"/>
        <v>40</v>
      </c>
      <c r="H473" s="24">
        <f t="shared" si="23"/>
        <v>2500</v>
      </c>
      <c r="I473" s="24">
        <v>40</v>
      </c>
      <c r="J473" s="24">
        <v>2500</v>
      </c>
      <c r="K473" s="24">
        <v>80</v>
      </c>
      <c r="L473" s="24">
        <v>5000</v>
      </c>
    </row>
    <row r="474" spans="1:12">
      <c r="A474" s="10" t="str">
        <f t="shared" ca="1" si="21"/>
        <v/>
      </c>
      <c r="B474" s="82" t="s">
        <v>225</v>
      </c>
      <c r="C474" s="10" t="s">
        <v>1323</v>
      </c>
      <c r="D474" s="10" t="s">
        <v>53</v>
      </c>
      <c r="E474" s="83" t="s">
        <v>819</v>
      </c>
      <c r="F474" s="84">
        <v>30</v>
      </c>
      <c r="G474" s="24">
        <f t="shared" si="22"/>
        <v>24</v>
      </c>
      <c r="H474" s="24">
        <f t="shared" si="23"/>
        <v>1500</v>
      </c>
      <c r="I474" s="24">
        <v>24</v>
      </c>
      <c r="J474" s="24">
        <v>1500</v>
      </c>
      <c r="K474" s="24">
        <v>48</v>
      </c>
      <c r="L474" s="24">
        <v>3000</v>
      </c>
    </row>
    <row r="475" spans="1:12">
      <c r="A475" s="10">
        <f t="shared" ca="1" si="21"/>
        <v>478</v>
      </c>
      <c r="B475" s="82" t="s">
        <v>219</v>
      </c>
      <c r="C475" s="10" t="s">
        <v>1324</v>
      </c>
      <c r="D475" s="10" t="s">
        <v>37</v>
      </c>
      <c r="E475" s="83" t="s">
        <v>662</v>
      </c>
      <c r="F475" s="84">
        <v>42</v>
      </c>
      <c r="G475" s="24">
        <f t="shared" si="22"/>
        <v>90</v>
      </c>
      <c r="H475" s="24">
        <f t="shared" si="23"/>
        <v>23.200000000000003</v>
      </c>
      <c r="I475" s="24">
        <v>90</v>
      </c>
      <c r="J475" s="24">
        <v>23.200000000000003</v>
      </c>
      <c r="K475" s="24">
        <v>100</v>
      </c>
      <c r="L475" s="24">
        <v>58</v>
      </c>
    </row>
    <row r="476" spans="1:12">
      <c r="A476" s="10" t="str">
        <f t="shared" ca="1" si="21"/>
        <v/>
      </c>
      <c r="B476" s="82" t="s">
        <v>219</v>
      </c>
      <c r="C476" s="10" t="s">
        <v>1325</v>
      </c>
      <c r="D476" s="10" t="s">
        <v>37</v>
      </c>
      <c r="E476" s="83" t="s">
        <v>663</v>
      </c>
      <c r="F476" s="84">
        <v>28</v>
      </c>
      <c r="G476" s="24">
        <f t="shared" si="22"/>
        <v>1350</v>
      </c>
      <c r="H476" s="24">
        <f t="shared" si="23"/>
        <v>348</v>
      </c>
      <c r="I476" s="24">
        <v>1350</v>
      </c>
      <c r="J476" s="24">
        <v>348</v>
      </c>
      <c r="K476" s="24">
        <v>1500</v>
      </c>
      <c r="L476" s="24">
        <v>870</v>
      </c>
    </row>
    <row r="477" spans="1:12">
      <c r="A477" s="10" t="str">
        <f t="shared" ca="1" si="21"/>
        <v/>
      </c>
      <c r="B477" s="82" t="s">
        <v>219</v>
      </c>
      <c r="C477" s="10" t="s">
        <v>1326</v>
      </c>
      <c r="D477" s="10" t="s">
        <v>37</v>
      </c>
      <c r="E477" s="83" t="s">
        <v>809</v>
      </c>
      <c r="F477" s="84">
        <v>28</v>
      </c>
      <c r="G477" s="24">
        <f t="shared" si="22"/>
        <v>900</v>
      </c>
      <c r="H477" s="24">
        <f t="shared" si="23"/>
        <v>232</v>
      </c>
      <c r="I477" s="24">
        <v>900</v>
      </c>
      <c r="J477" s="24">
        <v>232</v>
      </c>
      <c r="K477" s="24">
        <v>1000</v>
      </c>
      <c r="L477" s="24">
        <v>580</v>
      </c>
    </row>
    <row r="478" spans="1:12">
      <c r="A478" s="10" t="str">
        <f t="shared" ca="1" si="21"/>
        <v/>
      </c>
      <c r="B478" s="82" t="s">
        <v>219</v>
      </c>
      <c r="C478" s="10" t="s">
        <v>1327</v>
      </c>
      <c r="D478" s="10" t="s">
        <v>37</v>
      </c>
      <c r="E478" s="83" t="s">
        <v>764</v>
      </c>
      <c r="F478" s="84">
        <v>41</v>
      </c>
      <c r="G478" s="24">
        <f t="shared" si="22"/>
        <v>90</v>
      </c>
      <c r="H478" s="24">
        <f t="shared" si="23"/>
        <v>23.200000000000003</v>
      </c>
      <c r="I478" s="24">
        <v>90</v>
      </c>
      <c r="J478" s="24">
        <v>23.200000000000003</v>
      </c>
      <c r="K478" s="24">
        <v>100</v>
      </c>
      <c r="L478" s="24">
        <v>58</v>
      </c>
    </row>
    <row r="479" spans="1:12">
      <c r="A479" s="10">
        <f t="shared" ca="1" si="21"/>
        <v>479</v>
      </c>
      <c r="B479" s="82" t="s">
        <v>730</v>
      </c>
      <c r="C479" s="10" t="s">
        <v>1328</v>
      </c>
      <c r="D479" s="10" t="s">
        <v>50</v>
      </c>
      <c r="E479" s="83" t="s">
        <v>497</v>
      </c>
      <c r="F479" s="84">
        <v>30</v>
      </c>
      <c r="G479" s="24">
        <f t="shared" si="22"/>
        <v>100.8</v>
      </c>
      <c r="H479" s="24">
        <f t="shared" si="23"/>
        <v>8100</v>
      </c>
      <c r="I479" s="24">
        <v>100.8</v>
      </c>
      <c r="J479" s="24">
        <v>8100</v>
      </c>
      <c r="K479" s="24">
        <v>168</v>
      </c>
      <c r="L479" s="24">
        <v>13500</v>
      </c>
    </row>
    <row r="480" spans="1:12">
      <c r="A480" s="10">
        <f t="shared" ca="1" si="21"/>
        <v>480</v>
      </c>
      <c r="B480" s="82" t="s">
        <v>731</v>
      </c>
      <c r="C480" s="10" t="s">
        <v>1329</v>
      </c>
      <c r="D480" s="10" t="s">
        <v>50</v>
      </c>
      <c r="E480" s="83" t="s">
        <v>820</v>
      </c>
      <c r="F480" s="84">
        <v>43</v>
      </c>
      <c r="G480" s="24">
        <f t="shared" si="22"/>
        <v>49.5</v>
      </c>
      <c r="H480" s="24">
        <f t="shared" si="23"/>
        <v>1400</v>
      </c>
      <c r="I480" s="24">
        <v>49.5</v>
      </c>
      <c r="J480" s="24">
        <v>1400</v>
      </c>
      <c r="K480" s="24">
        <v>55</v>
      </c>
      <c r="L480" s="24">
        <v>2000</v>
      </c>
    </row>
    <row r="481" spans="1:12">
      <c r="A481" s="10">
        <f t="shared" ca="1" si="21"/>
        <v>481</v>
      </c>
      <c r="B481" s="82" t="s">
        <v>228</v>
      </c>
      <c r="C481" s="10" t="s">
        <v>1330</v>
      </c>
      <c r="D481" s="10" t="s">
        <v>37</v>
      </c>
      <c r="E481" s="83" t="s">
        <v>664</v>
      </c>
      <c r="F481" s="84">
        <v>28</v>
      </c>
      <c r="G481" s="24">
        <f t="shared" si="22"/>
        <v>16</v>
      </c>
      <c r="H481" s="24">
        <f t="shared" si="23"/>
        <v>300</v>
      </c>
      <c r="I481" s="24">
        <v>16</v>
      </c>
      <c r="J481" s="24">
        <v>300</v>
      </c>
      <c r="K481" s="24">
        <v>20</v>
      </c>
      <c r="L481" s="24">
        <v>400</v>
      </c>
    </row>
    <row r="482" spans="1:12">
      <c r="A482" s="10">
        <f t="shared" ca="1" si="21"/>
        <v>484</v>
      </c>
      <c r="B482" s="82" t="s">
        <v>483</v>
      </c>
      <c r="C482" s="10" t="s">
        <v>1331</v>
      </c>
      <c r="D482" s="10" t="s">
        <v>50</v>
      </c>
      <c r="E482" s="83" t="s">
        <v>754</v>
      </c>
      <c r="F482" s="84">
        <v>30</v>
      </c>
      <c r="G482" s="24">
        <f t="shared" si="22"/>
        <v>40.5</v>
      </c>
      <c r="H482" s="24">
        <f t="shared" si="23"/>
        <v>1350</v>
      </c>
      <c r="I482" s="24">
        <v>40.5</v>
      </c>
      <c r="J482" s="24">
        <v>1350</v>
      </c>
      <c r="K482" s="24">
        <v>45</v>
      </c>
      <c r="L482" s="24">
        <v>1500</v>
      </c>
    </row>
    <row r="483" spans="1:12">
      <c r="A483" s="10" t="str">
        <f t="shared" ca="1" si="21"/>
        <v/>
      </c>
      <c r="B483" s="82" t="s">
        <v>483</v>
      </c>
      <c r="C483" s="10" t="s">
        <v>1332</v>
      </c>
      <c r="D483" s="10" t="s">
        <v>50</v>
      </c>
      <c r="E483" s="83" t="s">
        <v>665</v>
      </c>
      <c r="F483" s="84">
        <v>22</v>
      </c>
      <c r="G483" s="24">
        <f t="shared" si="22"/>
        <v>405</v>
      </c>
      <c r="H483" s="24">
        <f t="shared" si="23"/>
        <v>13500</v>
      </c>
      <c r="I483" s="24">
        <v>405</v>
      </c>
      <c r="J483" s="24">
        <v>13500</v>
      </c>
      <c r="K483" s="24">
        <v>450</v>
      </c>
      <c r="L483" s="24">
        <v>15000</v>
      </c>
    </row>
    <row r="484" spans="1:12">
      <c r="A484" s="10" t="str">
        <f t="shared" ca="1" si="21"/>
        <v/>
      </c>
      <c r="B484" s="82" t="s">
        <v>483</v>
      </c>
      <c r="C484" s="10" t="s">
        <v>1333</v>
      </c>
      <c r="D484" s="10" t="s">
        <v>50</v>
      </c>
      <c r="E484" s="83" t="s">
        <v>756</v>
      </c>
      <c r="F484" s="84">
        <v>30</v>
      </c>
      <c r="G484" s="24">
        <f t="shared" si="22"/>
        <v>405</v>
      </c>
      <c r="H484" s="24">
        <f t="shared" si="23"/>
        <v>13500</v>
      </c>
      <c r="I484" s="24">
        <v>405</v>
      </c>
      <c r="J484" s="24">
        <v>13500</v>
      </c>
      <c r="K484" s="24">
        <v>450</v>
      </c>
      <c r="L484" s="24">
        <v>15000</v>
      </c>
    </row>
    <row r="485" spans="1:12">
      <c r="A485" s="10">
        <f t="shared" ca="1" si="21"/>
        <v>485</v>
      </c>
      <c r="B485" s="82" t="s">
        <v>484</v>
      </c>
      <c r="C485" s="10" t="s">
        <v>1334</v>
      </c>
      <c r="D485" s="10" t="s">
        <v>49</v>
      </c>
      <c r="E485" s="83" t="s">
        <v>666</v>
      </c>
      <c r="F485" s="84">
        <v>30</v>
      </c>
      <c r="G485" s="24">
        <f t="shared" si="22"/>
        <v>200</v>
      </c>
      <c r="H485" s="24">
        <f t="shared" si="23"/>
        <v>10000</v>
      </c>
      <c r="I485" s="24">
        <v>200</v>
      </c>
      <c r="J485" s="24">
        <v>10000</v>
      </c>
      <c r="K485" s="24">
        <v>400</v>
      </c>
      <c r="L485" s="24">
        <v>20000</v>
      </c>
    </row>
    <row r="486" spans="1:12">
      <c r="A486" s="10">
        <f t="shared" ca="1" si="21"/>
        <v>486</v>
      </c>
      <c r="B486" s="82" t="s">
        <v>235</v>
      </c>
      <c r="C486" s="10" t="s">
        <v>1335</v>
      </c>
      <c r="D486" s="10" t="s">
        <v>37</v>
      </c>
      <c r="E486" s="83" t="s">
        <v>809</v>
      </c>
      <c r="F486" s="84">
        <v>28</v>
      </c>
      <c r="G486" s="24">
        <f t="shared" si="22"/>
        <v>168</v>
      </c>
      <c r="H486" s="24">
        <f t="shared" si="23"/>
        <v>770</v>
      </c>
      <c r="I486" s="24">
        <v>168</v>
      </c>
      <c r="J486" s="24">
        <v>770</v>
      </c>
      <c r="K486" s="24">
        <v>240</v>
      </c>
      <c r="L486" s="24">
        <v>1100</v>
      </c>
    </row>
    <row r="487" spans="1:12">
      <c r="A487" s="10">
        <f t="shared" ca="1" si="21"/>
        <v>487</v>
      </c>
      <c r="B487" s="82" t="s">
        <v>485</v>
      </c>
      <c r="C487" s="10" t="s">
        <v>1336</v>
      </c>
      <c r="D487" s="10" t="s">
        <v>53</v>
      </c>
      <c r="E487" s="83" t="s">
        <v>667</v>
      </c>
      <c r="F487" s="84">
        <v>49</v>
      </c>
      <c r="G487" s="24">
        <f t="shared" si="22"/>
        <v>5</v>
      </c>
      <c r="H487" s="24">
        <f t="shared" si="23"/>
        <v>325</v>
      </c>
      <c r="I487" s="24">
        <v>5</v>
      </c>
      <c r="J487" s="24">
        <v>325</v>
      </c>
      <c r="K487" s="24">
        <v>10</v>
      </c>
      <c r="L487" s="24">
        <v>650</v>
      </c>
    </row>
    <row r="488" spans="1:12">
      <c r="A488" s="10">
        <f t="shared" ca="1" si="21"/>
        <v>488</v>
      </c>
      <c r="B488" s="82" t="s">
        <v>732</v>
      </c>
      <c r="C488" s="10" t="s">
        <v>1337</v>
      </c>
      <c r="D488" s="10" t="s">
        <v>49</v>
      </c>
      <c r="E488" s="83" t="s">
        <v>821</v>
      </c>
      <c r="F488" s="84">
        <v>43</v>
      </c>
      <c r="G488" s="24">
        <f t="shared" si="22"/>
        <v>2.7</v>
      </c>
      <c r="H488" s="24">
        <f t="shared" si="23"/>
        <v>7</v>
      </c>
      <c r="I488" s="24">
        <v>2.7</v>
      </c>
      <c r="J488" s="24">
        <v>7</v>
      </c>
      <c r="K488" s="24">
        <v>3</v>
      </c>
      <c r="L488" s="24">
        <v>10</v>
      </c>
    </row>
    <row r="489" spans="1:12">
      <c r="A489" s="10">
        <f t="shared" ca="1" si="21"/>
        <v>489</v>
      </c>
      <c r="B489" s="82" t="s">
        <v>240</v>
      </c>
      <c r="C489" s="10" t="s">
        <v>1338</v>
      </c>
      <c r="D489" s="10" t="s">
        <v>37</v>
      </c>
      <c r="E489" s="83" t="s">
        <v>668</v>
      </c>
      <c r="F489" s="84">
        <v>42</v>
      </c>
      <c r="G489" s="24">
        <f t="shared" si="22"/>
        <v>90</v>
      </c>
      <c r="H489" s="24">
        <f t="shared" si="23"/>
        <v>23.8</v>
      </c>
      <c r="I489" s="24">
        <v>90</v>
      </c>
      <c r="J489" s="24">
        <v>23.8</v>
      </c>
      <c r="K489" s="24">
        <v>150</v>
      </c>
      <c r="L489" s="24">
        <v>238</v>
      </c>
    </row>
    <row r="490" spans="1:12">
      <c r="A490" s="10">
        <f t="shared" ca="1" si="21"/>
        <v>490</v>
      </c>
      <c r="B490" s="82" t="s">
        <v>733</v>
      </c>
      <c r="C490" s="10" t="s">
        <v>1339</v>
      </c>
      <c r="D490" s="10" t="s">
        <v>37</v>
      </c>
      <c r="E490" s="83" t="s">
        <v>756</v>
      </c>
      <c r="F490" s="84">
        <v>30</v>
      </c>
      <c r="G490" s="24">
        <f t="shared" si="22"/>
        <v>400</v>
      </c>
      <c r="H490" s="24">
        <f t="shared" si="23"/>
        <v>1050</v>
      </c>
      <c r="I490" s="24">
        <v>400</v>
      </c>
      <c r="J490" s="24">
        <v>1050</v>
      </c>
      <c r="K490" s="24">
        <v>500</v>
      </c>
      <c r="L490" s="24">
        <v>1500</v>
      </c>
    </row>
    <row r="491" spans="1:12">
      <c r="A491" s="10">
        <f t="shared" ca="1" si="21"/>
        <v>494</v>
      </c>
      <c r="B491" s="82" t="s">
        <v>215</v>
      </c>
      <c r="C491" s="10" t="s">
        <v>1340</v>
      </c>
      <c r="D491" s="10" t="s">
        <v>52</v>
      </c>
      <c r="E491" s="83" t="s">
        <v>822</v>
      </c>
      <c r="F491" s="84">
        <v>80</v>
      </c>
      <c r="G491" s="24">
        <f t="shared" si="22"/>
        <v>4.8</v>
      </c>
      <c r="H491" s="24">
        <f t="shared" si="23"/>
        <v>128</v>
      </c>
      <c r="I491" s="24">
        <v>4.8</v>
      </c>
      <c r="J491" s="24">
        <v>128</v>
      </c>
      <c r="K491" s="24">
        <v>8</v>
      </c>
      <c r="L491" s="24">
        <v>160</v>
      </c>
    </row>
    <row r="492" spans="1:12">
      <c r="A492" s="10" t="str">
        <f t="shared" ca="1" si="21"/>
        <v/>
      </c>
      <c r="B492" s="82" t="s">
        <v>215</v>
      </c>
      <c r="C492" s="10" t="s">
        <v>1341</v>
      </c>
      <c r="D492" s="10" t="s">
        <v>52</v>
      </c>
      <c r="E492" s="83" t="s">
        <v>669</v>
      </c>
      <c r="F492" s="84">
        <v>80</v>
      </c>
      <c r="G492" s="24">
        <f t="shared" si="22"/>
        <v>12.6</v>
      </c>
      <c r="H492" s="24">
        <f t="shared" si="23"/>
        <v>336</v>
      </c>
      <c r="I492" s="24">
        <v>12.6</v>
      </c>
      <c r="J492" s="24">
        <v>336</v>
      </c>
      <c r="K492" s="24">
        <v>21</v>
      </c>
      <c r="L492" s="24">
        <v>420</v>
      </c>
    </row>
    <row r="493" spans="1:12">
      <c r="A493" s="10" t="str">
        <f t="shared" ca="1" si="21"/>
        <v/>
      </c>
      <c r="B493" s="82" t="s">
        <v>215</v>
      </c>
      <c r="C493" s="10" t="s">
        <v>1342</v>
      </c>
      <c r="D493" s="10" t="s">
        <v>52</v>
      </c>
      <c r="E493" s="83" t="s">
        <v>768</v>
      </c>
      <c r="F493" s="84">
        <v>80</v>
      </c>
      <c r="G493" s="24">
        <f t="shared" si="22"/>
        <v>12</v>
      </c>
      <c r="H493" s="24">
        <f t="shared" si="23"/>
        <v>320</v>
      </c>
      <c r="I493" s="24">
        <v>12</v>
      </c>
      <c r="J493" s="24">
        <v>320</v>
      </c>
      <c r="K493" s="24">
        <v>20</v>
      </c>
      <c r="L493" s="24">
        <v>400</v>
      </c>
    </row>
    <row r="494" spans="1:12">
      <c r="A494" s="10" t="str">
        <f t="shared" ca="1" si="21"/>
        <v/>
      </c>
      <c r="B494" s="82" t="s">
        <v>215</v>
      </c>
      <c r="C494" s="10" t="s">
        <v>1343</v>
      </c>
      <c r="D494" s="10" t="s">
        <v>52</v>
      </c>
      <c r="E494" s="83" t="s">
        <v>670</v>
      </c>
      <c r="F494" s="84">
        <v>72</v>
      </c>
      <c r="G494" s="24">
        <f t="shared" si="22"/>
        <v>9.6</v>
      </c>
      <c r="H494" s="24">
        <f t="shared" si="23"/>
        <v>256</v>
      </c>
      <c r="I494" s="24">
        <v>9.6</v>
      </c>
      <c r="J494" s="24">
        <v>256</v>
      </c>
      <c r="K494" s="24">
        <v>16</v>
      </c>
      <c r="L494" s="24">
        <v>320</v>
      </c>
    </row>
    <row r="495" spans="1:12">
      <c r="A495" s="10">
        <f t="shared" ca="1" si="21"/>
        <v>497</v>
      </c>
      <c r="B495" s="82" t="s">
        <v>59</v>
      </c>
      <c r="C495" s="10" t="s">
        <v>1344</v>
      </c>
      <c r="D495" s="10" t="s">
        <v>52</v>
      </c>
      <c r="E495" s="83" t="s">
        <v>823</v>
      </c>
      <c r="F495" s="84">
        <v>72</v>
      </c>
      <c r="G495" s="24">
        <f t="shared" si="22"/>
        <v>9</v>
      </c>
      <c r="H495" s="24">
        <f t="shared" si="23"/>
        <v>240</v>
      </c>
      <c r="I495" s="24">
        <v>9</v>
      </c>
      <c r="J495" s="24">
        <v>240</v>
      </c>
      <c r="K495" s="24">
        <v>15</v>
      </c>
      <c r="L495" s="24">
        <v>300</v>
      </c>
    </row>
    <row r="496" spans="1:12">
      <c r="A496" s="10" t="str">
        <f t="shared" ca="1" si="21"/>
        <v/>
      </c>
      <c r="B496" s="82" t="s">
        <v>59</v>
      </c>
      <c r="C496" s="10" t="s">
        <v>1345</v>
      </c>
      <c r="D496" s="10" t="s">
        <v>52</v>
      </c>
      <c r="E496" s="83" t="s">
        <v>671</v>
      </c>
      <c r="F496" s="84">
        <v>72</v>
      </c>
      <c r="G496" s="24">
        <f t="shared" si="22"/>
        <v>60</v>
      </c>
      <c r="H496" s="24">
        <f t="shared" si="23"/>
        <v>1600</v>
      </c>
      <c r="I496" s="24">
        <v>60</v>
      </c>
      <c r="J496" s="24">
        <v>1600</v>
      </c>
      <c r="K496" s="24">
        <v>100</v>
      </c>
      <c r="L496" s="24">
        <v>2000</v>
      </c>
    </row>
    <row r="497" spans="1:12">
      <c r="A497" s="10" t="str">
        <f t="shared" ca="1" si="21"/>
        <v/>
      </c>
      <c r="B497" s="82" t="s">
        <v>59</v>
      </c>
      <c r="C497" s="10" t="s">
        <v>1346</v>
      </c>
      <c r="D497" s="10" t="s">
        <v>52</v>
      </c>
      <c r="E497" s="83" t="s">
        <v>672</v>
      </c>
      <c r="F497" s="84">
        <v>72</v>
      </c>
      <c r="G497" s="24">
        <f t="shared" si="22"/>
        <v>15</v>
      </c>
      <c r="H497" s="24">
        <f t="shared" si="23"/>
        <v>400</v>
      </c>
      <c r="I497" s="24">
        <v>15</v>
      </c>
      <c r="J497" s="24">
        <v>400</v>
      </c>
      <c r="K497" s="24">
        <v>25</v>
      </c>
      <c r="L497" s="24">
        <v>500</v>
      </c>
    </row>
    <row r="498" spans="1:12">
      <c r="A498" s="10">
        <f t="shared" ca="1" si="21"/>
        <v>498</v>
      </c>
      <c r="B498" s="82" t="s">
        <v>212</v>
      </c>
      <c r="C498" s="10" t="s">
        <v>1347</v>
      </c>
      <c r="D498" s="10" t="s">
        <v>49</v>
      </c>
      <c r="E498" s="83" t="s">
        <v>673</v>
      </c>
      <c r="F498" s="84">
        <v>52</v>
      </c>
      <c r="G498" s="24">
        <f t="shared" si="22"/>
        <v>0.36000000000000004</v>
      </c>
      <c r="H498" s="24">
        <f t="shared" si="23"/>
        <v>8</v>
      </c>
      <c r="I498" s="24">
        <v>0.36000000000000004</v>
      </c>
      <c r="J498" s="24">
        <v>8</v>
      </c>
      <c r="K498" s="24">
        <v>0.4</v>
      </c>
      <c r="L498" s="24">
        <v>10</v>
      </c>
    </row>
    <row r="499" spans="1:12">
      <c r="A499" s="10">
        <f t="shared" ca="1" si="21"/>
        <v>499</v>
      </c>
      <c r="B499" s="82" t="s">
        <v>734</v>
      </c>
      <c r="C499" s="10" t="s">
        <v>1348</v>
      </c>
      <c r="D499" s="10" t="s">
        <v>51</v>
      </c>
      <c r="E499" s="83" t="s">
        <v>824</v>
      </c>
      <c r="F499" s="84">
        <v>30</v>
      </c>
      <c r="G499" s="24">
        <f t="shared" si="22"/>
        <v>63</v>
      </c>
      <c r="H499" s="24">
        <f t="shared" si="23"/>
        <v>630</v>
      </c>
      <c r="I499" s="24">
        <v>63</v>
      </c>
      <c r="J499" s="24">
        <v>630</v>
      </c>
      <c r="K499" s="24">
        <v>70</v>
      </c>
      <c r="L499" s="24">
        <v>700</v>
      </c>
    </row>
    <row r="500" spans="1:12">
      <c r="A500" s="10">
        <f t="shared" ca="1" si="21"/>
        <v>500</v>
      </c>
      <c r="B500" s="82" t="s">
        <v>60</v>
      </c>
      <c r="C500" s="10" t="s">
        <v>1349</v>
      </c>
      <c r="D500" s="10" t="s">
        <v>51</v>
      </c>
      <c r="E500" s="83" t="s">
        <v>674</v>
      </c>
      <c r="F500" s="84">
        <v>29</v>
      </c>
      <c r="G500" s="24">
        <f t="shared" si="22"/>
        <v>67.5</v>
      </c>
      <c r="H500" s="24">
        <f t="shared" si="23"/>
        <v>900</v>
      </c>
      <c r="I500" s="24">
        <v>67.5</v>
      </c>
      <c r="J500" s="24">
        <v>900</v>
      </c>
      <c r="K500" s="24">
        <v>75</v>
      </c>
      <c r="L500" s="24">
        <v>1000</v>
      </c>
    </row>
    <row r="501" spans="1:12">
      <c r="A501" s="10">
        <f t="shared" ca="1" si="21"/>
        <v>501</v>
      </c>
      <c r="B501" s="82" t="s">
        <v>735</v>
      </c>
      <c r="C501" s="10" t="s">
        <v>1350</v>
      </c>
      <c r="D501" s="10" t="s">
        <v>49</v>
      </c>
      <c r="E501" s="83" t="s">
        <v>765</v>
      </c>
      <c r="F501" s="84">
        <v>52</v>
      </c>
      <c r="G501" s="24">
        <f t="shared" si="22"/>
        <v>1137.5</v>
      </c>
      <c r="H501" s="24">
        <f t="shared" si="23"/>
        <v>7500</v>
      </c>
      <c r="I501" s="24">
        <v>1137.5</v>
      </c>
      <c r="J501" s="24">
        <v>7500</v>
      </c>
      <c r="K501" s="24">
        <v>1625</v>
      </c>
      <c r="L501" s="24">
        <v>25000</v>
      </c>
    </row>
    <row r="502" spans="1:12">
      <c r="A502" s="10">
        <f t="shared" ca="1" si="21"/>
        <v>506</v>
      </c>
      <c r="B502" s="82" t="s">
        <v>232</v>
      </c>
      <c r="C502" s="10" t="s">
        <v>1351</v>
      </c>
      <c r="D502" s="10" t="s">
        <v>52</v>
      </c>
      <c r="E502" s="83" t="s">
        <v>675</v>
      </c>
      <c r="F502" s="84">
        <v>80</v>
      </c>
      <c r="G502" s="24">
        <f t="shared" si="22"/>
        <v>640</v>
      </c>
      <c r="H502" s="24">
        <f t="shared" si="23"/>
        <v>2400</v>
      </c>
      <c r="I502" s="24">
        <v>640</v>
      </c>
      <c r="J502" s="24">
        <v>2400</v>
      </c>
      <c r="K502" s="24">
        <v>800</v>
      </c>
      <c r="L502" s="24">
        <v>8000</v>
      </c>
    </row>
    <row r="503" spans="1:12">
      <c r="A503" s="10" t="str">
        <f t="shared" ca="1" si="21"/>
        <v/>
      </c>
      <c r="B503" s="82" t="s">
        <v>232</v>
      </c>
      <c r="C503" s="10" t="s">
        <v>1352</v>
      </c>
      <c r="D503" s="10" t="s">
        <v>52</v>
      </c>
      <c r="E503" s="83" t="s">
        <v>676</v>
      </c>
      <c r="F503" s="84">
        <v>44</v>
      </c>
      <c r="G503" s="24">
        <f t="shared" si="22"/>
        <v>8000</v>
      </c>
      <c r="H503" s="24">
        <f t="shared" si="23"/>
        <v>30000</v>
      </c>
      <c r="I503" s="24">
        <v>8000</v>
      </c>
      <c r="J503" s="24">
        <v>30000</v>
      </c>
      <c r="K503" s="24">
        <v>10000</v>
      </c>
      <c r="L503" s="24">
        <v>100000</v>
      </c>
    </row>
    <row r="504" spans="1:12">
      <c r="A504" s="10" t="str">
        <f t="shared" ca="1" si="21"/>
        <v/>
      </c>
      <c r="B504" s="82" t="s">
        <v>232</v>
      </c>
      <c r="C504" s="10" t="s">
        <v>1353</v>
      </c>
      <c r="D504" s="10" t="s">
        <v>52</v>
      </c>
      <c r="E504" s="83" t="s">
        <v>825</v>
      </c>
      <c r="F504" s="84">
        <v>80</v>
      </c>
      <c r="G504" s="24">
        <f t="shared" si="22"/>
        <v>16000</v>
      </c>
      <c r="H504" s="24">
        <f t="shared" si="23"/>
        <v>60000</v>
      </c>
      <c r="I504" s="24">
        <v>16000</v>
      </c>
      <c r="J504" s="24">
        <v>60000</v>
      </c>
      <c r="K504" s="24">
        <v>20000</v>
      </c>
      <c r="L504" s="24">
        <v>200000</v>
      </c>
    </row>
    <row r="505" spans="1:12">
      <c r="A505" s="10" t="str">
        <f t="shared" ca="1" si="21"/>
        <v/>
      </c>
      <c r="B505" s="82" t="s">
        <v>232</v>
      </c>
      <c r="C505" s="10" t="s">
        <v>1354</v>
      </c>
      <c r="D505" s="10" t="s">
        <v>52</v>
      </c>
      <c r="E505" s="83" t="s">
        <v>677</v>
      </c>
      <c r="F505" s="84">
        <v>72</v>
      </c>
      <c r="G505" s="24">
        <f t="shared" si="22"/>
        <v>16000</v>
      </c>
      <c r="H505" s="24">
        <f t="shared" si="23"/>
        <v>60000</v>
      </c>
      <c r="I505" s="24">
        <v>16000</v>
      </c>
      <c r="J505" s="24">
        <v>60000</v>
      </c>
      <c r="K505" s="24">
        <v>20000</v>
      </c>
      <c r="L505" s="24">
        <v>200000</v>
      </c>
    </row>
    <row r="506" spans="1:12">
      <c r="A506" s="10" t="str">
        <f t="shared" ca="1" si="21"/>
        <v/>
      </c>
      <c r="B506" s="82" t="s">
        <v>232</v>
      </c>
      <c r="C506" s="10" t="s">
        <v>1355</v>
      </c>
      <c r="D506" s="10" t="s">
        <v>52</v>
      </c>
      <c r="E506" s="83" t="s">
        <v>764</v>
      </c>
      <c r="F506" s="84">
        <v>80</v>
      </c>
      <c r="G506" s="24">
        <f t="shared" si="22"/>
        <v>320</v>
      </c>
      <c r="H506" s="24">
        <f t="shared" si="23"/>
        <v>1200</v>
      </c>
      <c r="I506" s="24">
        <v>320</v>
      </c>
      <c r="J506" s="24">
        <v>1200</v>
      </c>
      <c r="K506" s="24">
        <v>400</v>
      </c>
      <c r="L506" s="24">
        <v>4000</v>
      </c>
    </row>
    <row r="507" spans="1:12">
      <c r="A507" s="10">
        <f t="shared" ca="1" si="21"/>
        <v>509</v>
      </c>
      <c r="B507" s="82" t="s">
        <v>238</v>
      </c>
      <c r="C507" s="10" t="s">
        <v>1356</v>
      </c>
      <c r="D507" s="10" t="s">
        <v>52</v>
      </c>
      <c r="E507" s="83" t="s">
        <v>698</v>
      </c>
      <c r="F507" s="84">
        <v>28</v>
      </c>
      <c r="G507" s="24">
        <f t="shared" si="22"/>
        <v>18000</v>
      </c>
      <c r="H507" s="24">
        <f t="shared" si="23"/>
        <v>270000</v>
      </c>
      <c r="I507" s="24">
        <v>18000</v>
      </c>
      <c r="J507" s="24">
        <v>270000</v>
      </c>
      <c r="K507" s="24">
        <v>30000</v>
      </c>
      <c r="L507" s="24">
        <v>450000</v>
      </c>
    </row>
    <row r="508" spans="1:12">
      <c r="A508" s="10" t="str">
        <f t="shared" ca="1" si="21"/>
        <v/>
      </c>
      <c r="B508" s="82" t="s">
        <v>238</v>
      </c>
      <c r="C508" s="10" t="s">
        <v>1357</v>
      </c>
      <c r="D508" s="10" t="s">
        <v>52</v>
      </c>
      <c r="E508" s="83" t="s">
        <v>677</v>
      </c>
      <c r="F508" s="84">
        <v>22</v>
      </c>
      <c r="G508" s="24">
        <f t="shared" si="22"/>
        <v>9000</v>
      </c>
      <c r="H508" s="24">
        <f t="shared" si="23"/>
        <v>135000</v>
      </c>
      <c r="I508" s="24">
        <v>9000</v>
      </c>
      <c r="J508" s="24">
        <v>135000</v>
      </c>
      <c r="K508" s="24">
        <v>15000</v>
      </c>
      <c r="L508" s="24">
        <v>225000</v>
      </c>
    </row>
    <row r="509" spans="1:12">
      <c r="A509" s="10" t="str">
        <f t="shared" ca="1" si="21"/>
        <v/>
      </c>
      <c r="B509" s="82" t="s">
        <v>238</v>
      </c>
      <c r="C509" s="10" t="s">
        <v>1358</v>
      </c>
      <c r="D509" s="10" t="s">
        <v>52</v>
      </c>
      <c r="E509" s="83" t="s">
        <v>678</v>
      </c>
      <c r="F509" s="84">
        <v>33</v>
      </c>
      <c r="G509" s="24">
        <f t="shared" si="22"/>
        <v>18000</v>
      </c>
      <c r="H509" s="24">
        <f t="shared" si="23"/>
        <v>270000</v>
      </c>
      <c r="I509" s="24">
        <v>18000</v>
      </c>
      <c r="J509" s="24">
        <v>270000</v>
      </c>
      <c r="K509" s="24">
        <v>30000</v>
      </c>
      <c r="L509" s="24">
        <v>450000</v>
      </c>
    </row>
    <row r="510" spans="1:12">
      <c r="A510" s="10">
        <f t="shared" ca="1" si="21"/>
        <v>510</v>
      </c>
      <c r="B510" s="82" t="s">
        <v>736</v>
      </c>
      <c r="C510" s="10" t="s">
        <v>1359</v>
      </c>
      <c r="D510" s="10" t="s">
        <v>52</v>
      </c>
      <c r="E510" s="83" t="s">
        <v>826</v>
      </c>
      <c r="F510" s="84">
        <v>72</v>
      </c>
      <c r="G510" s="24">
        <f t="shared" si="22"/>
        <v>315</v>
      </c>
      <c r="H510" s="24">
        <f t="shared" si="23"/>
        <v>8125</v>
      </c>
      <c r="I510" s="24">
        <v>315</v>
      </c>
      <c r="J510" s="24">
        <v>8125</v>
      </c>
      <c r="K510" s="24">
        <v>450</v>
      </c>
      <c r="L510" s="24">
        <v>16250</v>
      </c>
    </row>
    <row r="511" spans="1:12">
      <c r="A511" s="10">
        <f t="shared" ca="1" si="21"/>
        <v>511</v>
      </c>
      <c r="B511" s="82" t="s">
        <v>737</v>
      </c>
      <c r="C511" s="10" t="s">
        <v>1360</v>
      </c>
      <c r="D511" s="10" t="s">
        <v>52</v>
      </c>
      <c r="E511" s="83" t="s">
        <v>827</v>
      </c>
      <c r="F511" s="84">
        <v>80</v>
      </c>
      <c r="G511" s="24">
        <f t="shared" si="22"/>
        <v>350</v>
      </c>
      <c r="H511" s="24">
        <f t="shared" si="23"/>
        <v>9000</v>
      </c>
      <c r="I511" s="24">
        <v>350</v>
      </c>
      <c r="J511" s="24">
        <v>9000</v>
      </c>
      <c r="K511" s="24">
        <v>500</v>
      </c>
      <c r="L511" s="24">
        <v>18000</v>
      </c>
    </row>
    <row r="512" spans="1:12">
      <c r="A512" s="10">
        <f t="shared" ca="1" si="21"/>
        <v>512</v>
      </c>
      <c r="B512" s="82" t="s">
        <v>486</v>
      </c>
      <c r="C512" s="10" t="s">
        <v>1361</v>
      </c>
      <c r="D512" s="10" t="s">
        <v>52</v>
      </c>
      <c r="E512" s="83" t="s">
        <v>678</v>
      </c>
      <c r="F512" s="84">
        <v>33</v>
      </c>
      <c r="G512" s="24">
        <f t="shared" si="22"/>
        <v>18000</v>
      </c>
      <c r="H512" s="24">
        <f t="shared" si="23"/>
        <v>270000</v>
      </c>
      <c r="I512" s="24">
        <v>18000</v>
      </c>
      <c r="J512" s="24">
        <v>270000</v>
      </c>
      <c r="K512" s="24">
        <v>30000</v>
      </c>
      <c r="L512" s="24">
        <v>450000</v>
      </c>
    </row>
    <row r="513" spans="1:12">
      <c r="A513" s="10">
        <f t="shared" ca="1" si="21"/>
        <v>513</v>
      </c>
      <c r="B513" s="82" t="s">
        <v>286</v>
      </c>
      <c r="C513" s="10" t="s">
        <v>1362</v>
      </c>
      <c r="D513" s="10" t="s">
        <v>47</v>
      </c>
      <c r="E513" s="83" t="s">
        <v>511</v>
      </c>
      <c r="F513" s="84">
        <v>1</v>
      </c>
      <c r="G513" s="24">
        <f t="shared" si="22"/>
        <v>16.698070295954061</v>
      </c>
      <c r="H513" s="24">
        <f t="shared" si="23"/>
        <v>0</v>
      </c>
      <c r="I513" s="24">
        <v>16.698070295954061</v>
      </c>
      <c r="J513" s="24">
        <v>0</v>
      </c>
      <c r="K513" s="24">
        <v>16.698070295954061</v>
      </c>
      <c r="L513" s="24">
        <v>0</v>
      </c>
    </row>
    <row r="514" spans="1:12">
      <c r="A514" s="10">
        <f t="shared" ref="A514:A577" ca="1" si="24">IF(B513=B514,"",ROW(A514)-1+MATCH(B514,INDIRECT("B"&amp;ROW(A514)&amp;":"&amp;"B"&amp;$A$1),1))</f>
        <v>514</v>
      </c>
      <c r="B514" s="82" t="s">
        <v>738</v>
      </c>
      <c r="C514" s="10" t="s">
        <v>1363</v>
      </c>
      <c r="D514" s="10" t="s">
        <v>50</v>
      </c>
      <c r="E514" s="83" t="s">
        <v>828</v>
      </c>
      <c r="F514" s="84">
        <v>30</v>
      </c>
      <c r="G514" s="24">
        <f t="shared" ref="G514:G577" si="25">IF($N$2=1,I514,K514)</f>
        <v>36</v>
      </c>
      <c r="H514" s="24">
        <f t="shared" ref="H514:H577" si="26">IF($N$2=1,J514,L514)</f>
        <v>320</v>
      </c>
      <c r="I514" s="24">
        <v>36</v>
      </c>
      <c r="J514" s="24">
        <v>320</v>
      </c>
      <c r="K514" s="24">
        <v>40</v>
      </c>
      <c r="L514" s="24">
        <v>400</v>
      </c>
    </row>
    <row r="515" spans="1:12">
      <c r="A515" s="10">
        <f t="shared" ca="1" si="24"/>
        <v>515</v>
      </c>
      <c r="B515" s="82" t="s">
        <v>739</v>
      </c>
      <c r="C515" s="10" t="s">
        <v>1364</v>
      </c>
      <c r="D515" s="10" t="s">
        <v>53</v>
      </c>
      <c r="E515" s="83" t="s">
        <v>829</v>
      </c>
      <c r="F515" s="84">
        <v>28</v>
      </c>
      <c r="G515" s="24">
        <f t="shared" si="25"/>
        <v>43.2</v>
      </c>
      <c r="H515" s="24">
        <f t="shared" si="26"/>
        <v>360</v>
      </c>
      <c r="I515" s="24">
        <v>43.2</v>
      </c>
      <c r="J515" s="24">
        <v>360</v>
      </c>
      <c r="K515" s="24">
        <v>48</v>
      </c>
      <c r="L515" s="24">
        <v>450</v>
      </c>
    </row>
    <row r="516" spans="1:12">
      <c r="A516" s="10">
        <f t="shared" ca="1" si="24"/>
        <v>516</v>
      </c>
      <c r="B516" s="82" t="s">
        <v>249</v>
      </c>
      <c r="C516" s="10" t="s">
        <v>1365</v>
      </c>
      <c r="D516" s="10" t="s">
        <v>50</v>
      </c>
      <c r="E516" s="83" t="s">
        <v>679</v>
      </c>
      <c r="F516" s="84">
        <v>29</v>
      </c>
      <c r="G516" s="24">
        <f t="shared" si="25"/>
        <v>45</v>
      </c>
      <c r="H516" s="24">
        <f t="shared" si="26"/>
        <v>840</v>
      </c>
      <c r="I516" s="24">
        <v>45</v>
      </c>
      <c r="J516" s="24">
        <v>840</v>
      </c>
      <c r="K516" s="24">
        <v>50</v>
      </c>
      <c r="L516" s="24">
        <v>1200</v>
      </c>
    </row>
    <row r="517" spans="1:12">
      <c r="A517" s="10">
        <f t="shared" ca="1" si="24"/>
        <v>517</v>
      </c>
      <c r="B517" s="82" t="s">
        <v>255</v>
      </c>
      <c r="C517" s="10" t="s">
        <v>1366</v>
      </c>
      <c r="D517" s="10" t="s">
        <v>50</v>
      </c>
      <c r="E517" s="83" t="s">
        <v>680</v>
      </c>
      <c r="F517" s="84">
        <v>29</v>
      </c>
      <c r="G517" s="24">
        <f t="shared" si="25"/>
        <v>27</v>
      </c>
      <c r="H517" s="24">
        <f t="shared" si="26"/>
        <v>560</v>
      </c>
      <c r="I517" s="24">
        <v>27</v>
      </c>
      <c r="J517" s="24">
        <v>560</v>
      </c>
      <c r="K517" s="24">
        <v>30</v>
      </c>
      <c r="L517" s="24">
        <v>800</v>
      </c>
    </row>
    <row r="518" spans="1:12">
      <c r="A518" s="10">
        <f t="shared" ca="1" si="24"/>
        <v>518</v>
      </c>
      <c r="B518" s="82" t="s">
        <v>260</v>
      </c>
      <c r="C518" s="10" t="s">
        <v>1367</v>
      </c>
      <c r="D518" s="10" t="s">
        <v>50</v>
      </c>
      <c r="E518" s="83" t="s">
        <v>681</v>
      </c>
      <c r="F518" s="84">
        <v>20</v>
      </c>
      <c r="G518" s="24">
        <f t="shared" si="25"/>
        <v>21.6</v>
      </c>
      <c r="H518" s="24">
        <f t="shared" si="26"/>
        <v>144</v>
      </c>
      <c r="I518" s="24">
        <v>21.6</v>
      </c>
      <c r="J518" s="24">
        <v>144</v>
      </c>
      <c r="K518" s="24">
        <v>24</v>
      </c>
      <c r="L518" s="24">
        <v>180</v>
      </c>
    </row>
    <row r="519" spans="1:12">
      <c r="A519" s="10">
        <f t="shared" ca="1" si="24"/>
        <v>519</v>
      </c>
      <c r="B519" s="82" t="s">
        <v>263</v>
      </c>
      <c r="C519" s="10" t="s">
        <v>1368</v>
      </c>
      <c r="D519" s="10" t="s">
        <v>50</v>
      </c>
      <c r="E519" s="83" t="s">
        <v>682</v>
      </c>
      <c r="F519" s="84">
        <v>24</v>
      </c>
      <c r="G519" s="24">
        <f t="shared" si="25"/>
        <v>5.4</v>
      </c>
      <c r="H519" s="24">
        <f t="shared" si="26"/>
        <v>36</v>
      </c>
      <c r="I519" s="24">
        <v>5.4</v>
      </c>
      <c r="J519" s="24">
        <v>36</v>
      </c>
      <c r="K519" s="24">
        <v>6</v>
      </c>
      <c r="L519" s="24">
        <v>45</v>
      </c>
    </row>
    <row r="520" spans="1:12">
      <c r="A520" s="10">
        <f t="shared" ca="1" si="24"/>
        <v>520</v>
      </c>
      <c r="B520" s="82" t="s">
        <v>265</v>
      </c>
      <c r="C520" s="10" t="s">
        <v>1369</v>
      </c>
      <c r="D520" s="10" t="s">
        <v>50</v>
      </c>
      <c r="E520" s="83" t="s">
        <v>683</v>
      </c>
      <c r="F520" s="84">
        <v>26</v>
      </c>
      <c r="G520" s="24">
        <f t="shared" si="25"/>
        <v>13.5</v>
      </c>
      <c r="H520" s="24">
        <f t="shared" si="26"/>
        <v>280</v>
      </c>
      <c r="I520" s="24">
        <v>13.5</v>
      </c>
      <c r="J520" s="24">
        <v>280</v>
      </c>
      <c r="K520" s="24">
        <v>15</v>
      </c>
      <c r="L520" s="24">
        <v>400</v>
      </c>
    </row>
    <row r="521" spans="1:12">
      <c r="A521" s="10">
        <f t="shared" ca="1" si="24"/>
        <v>522</v>
      </c>
      <c r="B521" s="82" t="s">
        <v>740</v>
      </c>
      <c r="C521" s="10" t="s">
        <v>1370</v>
      </c>
      <c r="D521" s="10" t="s">
        <v>51</v>
      </c>
      <c r="E521" s="83" t="s">
        <v>755</v>
      </c>
      <c r="F521" s="84">
        <v>43</v>
      </c>
      <c r="G521" s="24">
        <f t="shared" si="25"/>
        <v>600</v>
      </c>
      <c r="H521" s="24">
        <f t="shared" si="26"/>
        <v>3000</v>
      </c>
      <c r="I521" s="24">
        <v>600</v>
      </c>
      <c r="J521" s="24">
        <v>3000</v>
      </c>
      <c r="K521" s="24">
        <v>1500</v>
      </c>
      <c r="L521" s="24">
        <v>10000</v>
      </c>
    </row>
    <row r="522" spans="1:12">
      <c r="A522" s="10" t="str">
        <f t="shared" ca="1" si="24"/>
        <v/>
      </c>
      <c r="B522" s="82" t="s">
        <v>740</v>
      </c>
      <c r="C522" s="10" t="s">
        <v>1371</v>
      </c>
      <c r="D522" s="10" t="s">
        <v>51</v>
      </c>
      <c r="E522" s="83" t="s">
        <v>808</v>
      </c>
      <c r="F522" s="84">
        <v>45</v>
      </c>
      <c r="G522" s="24">
        <f t="shared" si="25"/>
        <v>600</v>
      </c>
      <c r="H522" s="24">
        <f t="shared" si="26"/>
        <v>3000</v>
      </c>
      <c r="I522" s="24">
        <v>600</v>
      </c>
      <c r="J522" s="24">
        <v>3000</v>
      </c>
      <c r="K522" s="24">
        <v>1500</v>
      </c>
      <c r="L522" s="24">
        <v>10000</v>
      </c>
    </row>
    <row r="523" spans="1:12">
      <c r="A523" s="10">
        <f t="shared" ca="1" si="24"/>
        <v>523</v>
      </c>
      <c r="B523" s="82" t="s">
        <v>741</v>
      </c>
      <c r="C523" s="10" t="s">
        <v>1372</v>
      </c>
      <c r="D523" s="10" t="s">
        <v>51</v>
      </c>
      <c r="E523" s="83" t="s">
        <v>830</v>
      </c>
      <c r="F523" s="84">
        <v>30</v>
      </c>
      <c r="G523" s="24">
        <f t="shared" si="25"/>
        <v>91.8</v>
      </c>
      <c r="H523" s="24">
        <f t="shared" si="26"/>
        <v>480</v>
      </c>
      <c r="I523" s="24">
        <v>91.8</v>
      </c>
      <c r="J523" s="24">
        <v>480</v>
      </c>
      <c r="K523" s="24">
        <v>102</v>
      </c>
      <c r="L523" s="24">
        <v>600</v>
      </c>
    </row>
    <row r="524" spans="1:12">
      <c r="A524" s="10">
        <f t="shared" ca="1" si="24"/>
        <v>524</v>
      </c>
      <c r="B524" s="82" t="s">
        <v>61</v>
      </c>
      <c r="C524" s="10" t="s">
        <v>1373</v>
      </c>
      <c r="D524" s="10" t="s">
        <v>51</v>
      </c>
      <c r="E524" s="83" t="s">
        <v>684</v>
      </c>
      <c r="F524" s="84">
        <v>29</v>
      </c>
      <c r="G524" s="24">
        <f t="shared" si="25"/>
        <v>270</v>
      </c>
      <c r="H524" s="24">
        <f t="shared" si="26"/>
        <v>160</v>
      </c>
      <c r="I524" s="24">
        <v>270</v>
      </c>
      <c r="J524" s="24">
        <v>160</v>
      </c>
      <c r="K524" s="24">
        <v>300</v>
      </c>
      <c r="L524" s="24">
        <v>200</v>
      </c>
    </row>
    <row r="525" spans="1:12">
      <c r="A525" s="10">
        <f t="shared" ca="1" si="24"/>
        <v>539</v>
      </c>
      <c r="B525" s="82" t="s">
        <v>279</v>
      </c>
      <c r="C525" s="10" t="s">
        <v>1374</v>
      </c>
      <c r="D525" s="10" t="s">
        <v>46</v>
      </c>
      <c r="E525" s="83" t="s">
        <v>594</v>
      </c>
      <c r="F525" s="84">
        <v>1</v>
      </c>
      <c r="G525" s="24">
        <f t="shared" si="25"/>
        <v>113.81210030527076</v>
      </c>
      <c r="H525" s="24">
        <f t="shared" si="26"/>
        <v>0</v>
      </c>
      <c r="I525" s="24">
        <v>113.81210030527076</v>
      </c>
      <c r="J525" s="24">
        <v>0</v>
      </c>
      <c r="K525" s="24">
        <v>113.81210030527076</v>
      </c>
      <c r="L525" s="24">
        <v>0</v>
      </c>
    </row>
    <row r="526" spans="1:12">
      <c r="A526" s="10" t="str">
        <f t="shared" ca="1" si="24"/>
        <v/>
      </c>
      <c r="B526" s="82" t="s">
        <v>279</v>
      </c>
      <c r="C526" s="10" t="s">
        <v>1375</v>
      </c>
      <c r="D526" s="10" t="s">
        <v>46</v>
      </c>
      <c r="E526" s="83" t="s">
        <v>560</v>
      </c>
      <c r="F526" s="84">
        <v>1</v>
      </c>
      <c r="G526" s="24">
        <f t="shared" si="25"/>
        <v>113.81210030527076</v>
      </c>
      <c r="H526" s="24">
        <f t="shared" si="26"/>
        <v>0</v>
      </c>
      <c r="I526" s="24">
        <v>113.81210030527076</v>
      </c>
      <c r="J526" s="24">
        <v>0</v>
      </c>
      <c r="K526" s="24">
        <v>113.81210030527076</v>
      </c>
      <c r="L526" s="24">
        <v>0</v>
      </c>
    </row>
    <row r="527" spans="1:12">
      <c r="A527" s="10" t="str">
        <f t="shared" ca="1" si="24"/>
        <v/>
      </c>
      <c r="B527" s="82" t="s">
        <v>279</v>
      </c>
      <c r="C527" s="10" t="s">
        <v>1376</v>
      </c>
      <c r="D527" s="10" t="s">
        <v>46</v>
      </c>
      <c r="E527" s="83" t="s">
        <v>516</v>
      </c>
      <c r="F527" s="84">
        <v>1</v>
      </c>
      <c r="G527" s="24">
        <f t="shared" si="25"/>
        <v>113.81210030527076</v>
      </c>
      <c r="H527" s="24">
        <f t="shared" si="26"/>
        <v>0</v>
      </c>
      <c r="I527" s="24">
        <v>113.81210030527076</v>
      </c>
      <c r="J527" s="24">
        <v>0</v>
      </c>
      <c r="K527" s="24">
        <v>113.81210030527076</v>
      </c>
      <c r="L527" s="24">
        <v>0</v>
      </c>
    </row>
    <row r="528" spans="1:12">
      <c r="A528" s="10" t="str">
        <f t="shared" ca="1" si="24"/>
        <v/>
      </c>
      <c r="B528" s="82" t="s">
        <v>279</v>
      </c>
      <c r="C528" s="10" t="s">
        <v>1377</v>
      </c>
      <c r="D528" s="10" t="s">
        <v>46</v>
      </c>
      <c r="E528" s="83" t="s">
        <v>561</v>
      </c>
      <c r="F528" s="84">
        <v>1</v>
      </c>
      <c r="G528" s="24">
        <f t="shared" si="25"/>
        <v>113.81210030527076</v>
      </c>
      <c r="H528" s="24">
        <f t="shared" si="26"/>
        <v>0</v>
      </c>
      <c r="I528" s="24">
        <v>113.81210030527076</v>
      </c>
      <c r="J528" s="24">
        <v>0</v>
      </c>
      <c r="K528" s="24">
        <v>113.81210030527076</v>
      </c>
      <c r="L528" s="24">
        <v>0</v>
      </c>
    </row>
    <row r="529" spans="1:12">
      <c r="A529" s="10" t="str">
        <f t="shared" ca="1" si="24"/>
        <v/>
      </c>
      <c r="B529" s="82" t="s">
        <v>279</v>
      </c>
      <c r="C529" s="10" t="s">
        <v>1378</v>
      </c>
      <c r="D529" s="10" t="s">
        <v>46</v>
      </c>
      <c r="E529" s="83" t="s">
        <v>563</v>
      </c>
      <c r="F529" s="84">
        <v>1</v>
      </c>
      <c r="G529" s="24">
        <f t="shared" si="25"/>
        <v>113.81210030527076</v>
      </c>
      <c r="H529" s="24">
        <f t="shared" si="26"/>
        <v>0</v>
      </c>
      <c r="I529" s="24">
        <v>113.81210030527076</v>
      </c>
      <c r="J529" s="24">
        <v>0</v>
      </c>
      <c r="K529" s="24">
        <v>113.81210030527076</v>
      </c>
      <c r="L529" s="24">
        <v>0</v>
      </c>
    </row>
    <row r="530" spans="1:12">
      <c r="A530" s="10" t="str">
        <f t="shared" ca="1" si="24"/>
        <v/>
      </c>
      <c r="B530" s="82" t="s">
        <v>279</v>
      </c>
      <c r="C530" s="10" t="s">
        <v>1379</v>
      </c>
      <c r="D530" s="10" t="s">
        <v>46</v>
      </c>
      <c r="E530" s="83" t="s">
        <v>564</v>
      </c>
      <c r="F530" s="84">
        <v>1</v>
      </c>
      <c r="G530" s="24">
        <f t="shared" si="25"/>
        <v>113.81210030527076</v>
      </c>
      <c r="H530" s="24">
        <f t="shared" si="26"/>
        <v>0</v>
      </c>
      <c r="I530" s="24">
        <v>113.81210030527076</v>
      </c>
      <c r="J530" s="24">
        <v>0</v>
      </c>
      <c r="K530" s="24">
        <v>113.81210030527076</v>
      </c>
      <c r="L530" s="24">
        <v>0</v>
      </c>
    </row>
    <row r="531" spans="1:12">
      <c r="A531" s="10" t="str">
        <f t="shared" ca="1" si="24"/>
        <v/>
      </c>
      <c r="B531" s="82" t="s">
        <v>279</v>
      </c>
      <c r="C531" s="10" t="s">
        <v>1380</v>
      </c>
      <c r="D531" s="10" t="s">
        <v>46</v>
      </c>
      <c r="E531" s="83" t="s">
        <v>566</v>
      </c>
      <c r="F531" s="84">
        <v>1</v>
      </c>
      <c r="G531" s="24">
        <f t="shared" si="25"/>
        <v>113.81210030527076</v>
      </c>
      <c r="H531" s="24">
        <f t="shared" si="26"/>
        <v>0</v>
      </c>
      <c r="I531" s="24">
        <v>113.81210030527076</v>
      </c>
      <c r="J531" s="24">
        <v>0</v>
      </c>
      <c r="K531" s="24">
        <v>113.81210030527076</v>
      </c>
      <c r="L531" s="24">
        <v>0</v>
      </c>
    </row>
    <row r="532" spans="1:12">
      <c r="A532" s="10" t="str">
        <f t="shared" ca="1" si="24"/>
        <v/>
      </c>
      <c r="B532" s="82" t="s">
        <v>279</v>
      </c>
      <c r="C532" s="10" t="s">
        <v>1381</v>
      </c>
      <c r="D532" s="10" t="s">
        <v>46</v>
      </c>
      <c r="E532" s="83" t="s">
        <v>779</v>
      </c>
      <c r="F532" s="84">
        <v>1</v>
      </c>
      <c r="G532" s="24">
        <f t="shared" si="25"/>
        <v>113.81210030527076</v>
      </c>
      <c r="H532" s="24">
        <f t="shared" si="26"/>
        <v>0</v>
      </c>
      <c r="I532" s="24">
        <v>113.81210030527076</v>
      </c>
      <c r="J532" s="24">
        <v>0</v>
      </c>
      <c r="K532" s="24">
        <v>113.81210030527076</v>
      </c>
      <c r="L532" s="24">
        <v>0</v>
      </c>
    </row>
    <row r="533" spans="1:12">
      <c r="A533" s="10" t="str">
        <f t="shared" ca="1" si="24"/>
        <v/>
      </c>
      <c r="B533" s="82" t="s">
        <v>279</v>
      </c>
      <c r="C533" s="10" t="s">
        <v>1382</v>
      </c>
      <c r="D533" s="10" t="s">
        <v>46</v>
      </c>
      <c r="E533" s="83" t="s">
        <v>571</v>
      </c>
      <c r="F533" s="84">
        <v>2</v>
      </c>
      <c r="G533" s="24">
        <f t="shared" si="25"/>
        <v>113.81210030527076</v>
      </c>
      <c r="H533" s="24">
        <f t="shared" si="26"/>
        <v>0</v>
      </c>
      <c r="I533" s="24">
        <v>113.81210030527076</v>
      </c>
      <c r="J533" s="24">
        <v>0</v>
      </c>
      <c r="K533" s="24">
        <v>113.81210030527076</v>
      </c>
      <c r="L533" s="24">
        <v>0</v>
      </c>
    </row>
    <row r="534" spans="1:12">
      <c r="A534" s="10" t="str">
        <f t="shared" ca="1" si="24"/>
        <v/>
      </c>
      <c r="B534" s="82" t="s">
        <v>279</v>
      </c>
      <c r="C534" s="10" t="s">
        <v>1383</v>
      </c>
      <c r="D534" s="10" t="s">
        <v>46</v>
      </c>
      <c r="E534" s="83" t="s">
        <v>512</v>
      </c>
      <c r="F534" s="84">
        <v>1</v>
      </c>
      <c r="G534" s="24">
        <f t="shared" si="25"/>
        <v>227.62420061054152</v>
      </c>
      <c r="H534" s="24">
        <f t="shared" si="26"/>
        <v>0</v>
      </c>
      <c r="I534" s="24">
        <v>227.62420061054152</v>
      </c>
      <c r="J534" s="24">
        <v>0</v>
      </c>
      <c r="K534" s="24">
        <v>227.62420061054152</v>
      </c>
      <c r="L534" s="24">
        <v>0</v>
      </c>
    </row>
    <row r="535" spans="1:12">
      <c r="A535" s="10" t="str">
        <f t="shared" ca="1" si="24"/>
        <v/>
      </c>
      <c r="B535" s="82" t="s">
        <v>279</v>
      </c>
      <c r="C535" s="10" t="s">
        <v>1384</v>
      </c>
      <c r="D535" s="10" t="s">
        <v>46</v>
      </c>
      <c r="E535" s="83" t="s">
        <v>535</v>
      </c>
      <c r="F535" s="84">
        <v>1</v>
      </c>
      <c r="G535" s="24">
        <f t="shared" si="25"/>
        <v>113.81210030527076</v>
      </c>
      <c r="H535" s="24">
        <f t="shared" si="26"/>
        <v>0</v>
      </c>
      <c r="I535" s="24">
        <v>113.81210030527076</v>
      </c>
      <c r="J535" s="24">
        <v>0</v>
      </c>
      <c r="K535" s="24">
        <v>113.81210030527076</v>
      </c>
      <c r="L535" s="24">
        <v>0</v>
      </c>
    </row>
    <row r="536" spans="1:12">
      <c r="A536" s="10" t="str">
        <f t="shared" ca="1" si="24"/>
        <v/>
      </c>
      <c r="B536" s="82" t="s">
        <v>279</v>
      </c>
      <c r="C536" s="10" t="s">
        <v>1385</v>
      </c>
      <c r="D536" s="10" t="s">
        <v>46</v>
      </c>
      <c r="E536" s="83" t="s">
        <v>523</v>
      </c>
      <c r="F536" s="84">
        <v>2</v>
      </c>
      <c r="G536" s="24">
        <f t="shared" si="25"/>
        <v>227.62420061054152</v>
      </c>
      <c r="H536" s="24">
        <f t="shared" si="26"/>
        <v>0</v>
      </c>
      <c r="I536" s="24">
        <v>227.62420061054152</v>
      </c>
      <c r="J536" s="24">
        <v>0</v>
      </c>
      <c r="K536" s="24">
        <v>227.62420061054152</v>
      </c>
      <c r="L536" s="24">
        <v>0</v>
      </c>
    </row>
    <row r="537" spans="1:12">
      <c r="A537" s="10" t="str">
        <f t="shared" ca="1" si="24"/>
        <v/>
      </c>
      <c r="B537" s="82" t="s">
        <v>279</v>
      </c>
      <c r="C537" s="10" t="s">
        <v>1386</v>
      </c>
      <c r="D537" s="10" t="s">
        <v>46</v>
      </c>
      <c r="E537" s="83" t="s">
        <v>524</v>
      </c>
      <c r="F537" s="84">
        <v>2</v>
      </c>
      <c r="G537" s="24">
        <f t="shared" si="25"/>
        <v>227.62420061054152</v>
      </c>
      <c r="H537" s="24">
        <f t="shared" si="26"/>
        <v>0</v>
      </c>
      <c r="I537" s="24">
        <v>227.62420061054152</v>
      </c>
      <c r="J537" s="24">
        <v>0</v>
      </c>
      <c r="K537" s="24">
        <v>227.62420061054152</v>
      </c>
      <c r="L537" s="24">
        <v>0</v>
      </c>
    </row>
    <row r="538" spans="1:12">
      <c r="A538" s="10" t="str">
        <f t="shared" ca="1" si="24"/>
        <v/>
      </c>
      <c r="B538" s="82" t="s">
        <v>279</v>
      </c>
      <c r="C538" s="10" t="s">
        <v>1387</v>
      </c>
      <c r="D538" s="10" t="s">
        <v>46</v>
      </c>
      <c r="E538" s="83" t="s">
        <v>528</v>
      </c>
      <c r="F538" s="84">
        <v>2</v>
      </c>
      <c r="G538" s="24">
        <f t="shared" si="25"/>
        <v>227.62420061054152</v>
      </c>
      <c r="H538" s="24">
        <f t="shared" si="26"/>
        <v>0</v>
      </c>
      <c r="I538" s="24">
        <v>227.62420061054152</v>
      </c>
      <c r="J538" s="24">
        <v>0</v>
      </c>
      <c r="K538" s="24">
        <v>227.62420061054152</v>
      </c>
      <c r="L538" s="24">
        <v>0</v>
      </c>
    </row>
    <row r="539" spans="1:12">
      <c r="A539" s="10" t="str">
        <f t="shared" ca="1" si="24"/>
        <v/>
      </c>
      <c r="B539" s="82" t="s">
        <v>279</v>
      </c>
      <c r="C539" s="10" t="s">
        <v>1388</v>
      </c>
      <c r="D539" s="10" t="s">
        <v>46</v>
      </c>
      <c r="E539" s="83" t="s">
        <v>537</v>
      </c>
      <c r="F539" s="84">
        <v>2</v>
      </c>
      <c r="G539" s="24">
        <f t="shared" si="25"/>
        <v>512.15445137371842</v>
      </c>
      <c r="H539" s="24">
        <f t="shared" si="26"/>
        <v>0</v>
      </c>
      <c r="I539" s="24">
        <v>512.15445137371842</v>
      </c>
      <c r="J539" s="24">
        <v>0</v>
      </c>
      <c r="K539" s="24">
        <v>512.15445137371842</v>
      </c>
      <c r="L539" s="24">
        <v>0</v>
      </c>
    </row>
    <row r="540" spans="1:12">
      <c r="A540" s="10">
        <f t="shared" ca="1" si="24"/>
        <v>540</v>
      </c>
      <c r="B540" s="82" t="s">
        <v>231</v>
      </c>
      <c r="C540" s="10" t="s">
        <v>1389</v>
      </c>
      <c r="D540" s="10" t="s">
        <v>36</v>
      </c>
      <c r="E540" s="83" t="s">
        <v>685</v>
      </c>
      <c r="F540" s="84">
        <v>28</v>
      </c>
      <c r="G540" s="24">
        <f t="shared" si="25"/>
        <v>36</v>
      </c>
      <c r="H540" s="24">
        <f t="shared" si="26"/>
        <v>480</v>
      </c>
      <c r="I540" s="24">
        <v>36</v>
      </c>
      <c r="J540" s="24">
        <v>480</v>
      </c>
      <c r="K540" s="24">
        <v>40</v>
      </c>
      <c r="L540" s="24">
        <v>600</v>
      </c>
    </row>
    <row r="541" spans="1:12">
      <c r="A541" s="10">
        <f t="shared" ca="1" si="24"/>
        <v>541</v>
      </c>
      <c r="B541" s="82" t="s">
        <v>243</v>
      </c>
      <c r="C541" s="10" t="s">
        <v>1390</v>
      </c>
      <c r="D541" s="10" t="s">
        <v>53</v>
      </c>
      <c r="E541" s="83" t="s">
        <v>831</v>
      </c>
      <c r="F541" s="84">
        <v>49</v>
      </c>
      <c r="G541" s="24">
        <f t="shared" si="25"/>
        <v>22.5</v>
      </c>
      <c r="H541" s="24">
        <f t="shared" si="26"/>
        <v>750</v>
      </c>
      <c r="I541" s="24">
        <v>22.5</v>
      </c>
      <c r="J541" s="24">
        <v>750</v>
      </c>
      <c r="K541" s="24">
        <v>30</v>
      </c>
      <c r="L541" s="24">
        <v>1000</v>
      </c>
    </row>
    <row r="542" spans="1:12">
      <c r="A542" s="10">
        <f t="shared" ca="1" si="24"/>
        <v>542</v>
      </c>
      <c r="B542" s="82" t="s">
        <v>246</v>
      </c>
      <c r="C542" s="10" t="s">
        <v>1391</v>
      </c>
      <c r="D542" s="10" t="s">
        <v>53</v>
      </c>
      <c r="E542" s="83" t="s">
        <v>548</v>
      </c>
      <c r="F542" s="84">
        <v>1</v>
      </c>
      <c r="G542" s="24">
        <f t="shared" si="25"/>
        <v>4.375</v>
      </c>
      <c r="H542" s="24">
        <f t="shared" si="26"/>
        <v>17.5</v>
      </c>
      <c r="I542" s="24">
        <v>4.375</v>
      </c>
      <c r="J542" s="24">
        <v>17.5</v>
      </c>
      <c r="K542" s="24">
        <v>8.75</v>
      </c>
      <c r="L542" s="24">
        <v>87.5</v>
      </c>
    </row>
    <row r="543" spans="1:12">
      <c r="A543" s="10">
        <f t="shared" ca="1" si="24"/>
        <v>543</v>
      </c>
      <c r="B543" s="82" t="s">
        <v>62</v>
      </c>
      <c r="C543" s="10" t="s">
        <v>1392</v>
      </c>
      <c r="D543" s="10" t="s">
        <v>51</v>
      </c>
      <c r="E543" s="83" t="s">
        <v>668</v>
      </c>
      <c r="F543" s="84">
        <v>42</v>
      </c>
      <c r="G543" s="24">
        <f t="shared" si="25"/>
        <v>6400</v>
      </c>
      <c r="H543" s="24">
        <f t="shared" si="26"/>
        <v>20000</v>
      </c>
      <c r="I543" s="24">
        <v>6400</v>
      </c>
      <c r="J543" s="24">
        <v>20000</v>
      </c>
      <c r="K543" s="24">
        <v>8000</v>
      </c>
      <c r="L543" s="24">
        <v>40000</v>
      </c>
    </row>
    <row r="544" spans="1:12">
      <c r="A544" s="10">
        <f t="shared" ca="1" si="24"/>
        <v>544</v>
      </c>
      <c r="B544" s="82" t="s">
        <v>742</v>
      </c>
      <c r="C544" s="10" t="s">
        <v>1393</v>
      </c>
      <c r="D544" s="10" t="s">
        <v>50</v>
      </c>
      <c r="E544" s="83" t="s">
        <v>832</v>
      </c>
      <c r="F544" s="84">
        <v>30</v>
      </c>
      <c r="G544" s="24">
        <f t="shared" si="25"/>
        <v>17.100000000000001</v>
      </c>
      <c r="H544" s="24">
        <f t="shared" si="26"/>
        <v>228</v>
      </c>
      <c r="I544" s="24">
        <v>17.100000000000001</v>
      </c>
      <c r="J544" s="24">
        <v>228</v>
      </c>
      <c r="K544" s="24">
        <v>19</v>
      </c>
      <c r="L544" s="24">
        <v>285</v>
      </c>
    </row>
    <row r="545" spans="1:12">
      <c r="A545" s="10">
        <f t="shared" ca="1" si="24"/>
        <v>545</v>
      </c>
      <c r="B545" s="82" t="s">
        <v>268</v>
      </c>
      <c r="C545" s="10" t="s">
        <v>1394</v>
      </c>
      <c r="D545" s="10" t="s">
        <v>50</v>
      </c>
      <c r="E545" s="83" t="s">
        <v>686</v>
      </c>
      <c r="F545" s="84">
        <v>28</v>
      </c>
      <c r="G545" s="24">
        <f t="shared" si="25"/>
        <v>180</v>
      </c>
      <c r="H545" s="24">
        <f t="shared" si="26"/>
        <v>960</v>
      </c>
      <c r="I545" s="24">
        <v>180</v>
      </c>
      <c r="J545" s="24">
        <v>960</v>
      </c>
      <c r="K545" s="24">
        <v>200</v>
      </c>
      <c r="L545" s="24">
        <v>1200</v>
      </c>
    </row>
    <row r="546" spans="1:12">
      <c r="A546" s="10">
        <f t="shared" ca="1" si="24"/>
        <v>546</v>
      </c>
      <c r="B546" s="82" t="s">
        <v>743</v>
      </c>
      <c r="C546" s="10" t="s">
        <v>1395</v>
      </c>
      <c r="D546" s="10" t="s">
        <v>36</v>
      </c>
      <c r="E546" s="83" t="s">
        <v>833</v>
      </c>
      <c r="F546" s="84">
        <v>52</v>
      </c>
      <c r="G546" s="24">
        <f t="shared" si="25"/>
        <v>7.2</v>
      </c>
      <c r="H546" s="24">
        <f t="shared" si="26"/>
        <v>48</v>
      </c>
      <c r="I546" s="24">
        <v>7.2</v>
      </c>
      <c r="J546" s="24">
        <v>48</v>
      </c>
      <c r="K546" s="24">
        <v>8</v>
      </c>
      <c r="L546" s="24">
        <v>60</v>
      </c>
    </row>
    <row r="547" spans="1:12">
      <c r="A547" s="10">
        <f t="shared" ca="1" si="24"/>
        <v>547</v>
      </c>
      <c r="B547" s="82" t="s">
        <v>251</v>
      </c>
      <c r="C547" s="10" t="s">
        <v>1396</v>
      </c>
      <c r="D547" s="10" t="s">
        <v>53</v>
      </c>
      <c r="E547" s="83" t="s">
        <v>687</v>
      </c>
      <c r="F547" s="84">
        <v>42</v>
      </c>
      <c r="G547" s="24">
        <f t="shared" si="25"/>
        <v>0.69400000000000006</v>
      </c>
      <c r="H547" s="24">
        <f t="shared" si="26"/>
        <v>2</v>
      </c>
      <c r="I547" s="24">
        <v>0.69400000000000006</v>
      </c>
      <c r="J547" s="24">
        <v>2</v>
      </c>
      <c r="K547" s="24">
        <v>3.47</v>
      </c>
      <c r="L547" s="24">
        <v>10</v>
      </c>
    </row>
    <row r="548" spans="1:12">
      <c r="A548" s="10">
        <f t="shared" ca="1" si="24"/>
        <v>553</v>
      </c>
      <c r="B548" s="82" t="s">
        <v>256</v>
      </c>
      <c r="C548" s="10" t="s">
        <v>1397</v>
      </c>
      <c r="D548" s="10" t="s">
        <v>51</v>
      </c>
      <c r="E548" s="83" t="s">
        <v>502</v>
      </c>
      <c r="F548" s="84">
        <v>22</v>
      </c>
      <c r="G548" s="24">
        <f t="shared" si="25"/>
        <v>6400</v>
      </c>
      <c r="H548" s="24">
        <f t="shared" si="26"/>
        <v>37200</v>
      </c>
      <c r="I548" s="24">
        <v>6400</v>
      </c>
      <c r="J548" s="24">
        <v>37200</v>
      </c>
      <c r="K548" s="24">
        <v>12800</v>
      </c>
      <c r="L548" s="24">
        <v>74400</v>
      </c>
    </row>
    <row r="549" spans="1:12">
      <c r="A549" s="10" t="str">
        <f t="shared" ca="1" si="24"/>
        <v/>
      </c>
      <c r="B549" s="82" t="s">
        <v>256</v>
      </c>
      <c r="C549" s="10" t="s">
        <v>1398</v>
      </c>
      <c r="D549" s="10" t="s">
        <v>51</v>
      </c>
      <c r="E549" s="83" t="s">
        <v>834</v>
      </c>
      <c r="F549" s="84">
        <v>29</v>
      </c>
      <c r="G549" s="24">
        <f t="shared" si="25"/>
        <v>1600</v>
      </c>
      <c r="H549" s="24">
        <f t="shared" si="26"/>
        <v>9300</v>
      </c>
      <c r="I549" s="24">
        <v>1600</v>
      </c>
      <c r="J549" s="24">
        <v>9300</v>
      </c>
      <c r="K549" s="24">
        <v>3200</v>
      </c>
      <c r="L549" s="24">
        <v>18600</v>
      </c>
    </row>
    <row r="550" spans="1:12">
      <c r="A550" s="10" t="str">
        <f t="shared" ca="1" si="24"/>
        <v/>
      </c>
      <c r="B550" s="82" t="s">
        <v>256</v>
      </c>
      <c r="C550" s="10" t="s">
        <v>1399</v>
      </c>
      <c r="D550" s="10" t="s">
        <v>51</v>
      </c>
      <c r="E550" s="83" t="s">
        <v>688</v>
      </c>
      <c r="F550" s="84">
        <v>22</v>
      </c>
      <c r="G550" s="24">
        <f t="shared" si="25"/>
        <v>1600</v>
      </c>
      <c r="H550" s="24">
        <f t="shared" si="26"/>
        <v>9300</v>
      </c>
      <c r="I550" s="24">
        <v>1600</v>
      </c>
      <c r="J550" s="24">
        <v>9300</v>
      </c>
      <c r="K550" s="24">
        <v>3200</v>
      </c>
      <c r="L550" s="24">
        <v>18600</v>
      </c>
    </row>
    <row r="551" spans="1:12">
      <c r="A551" s="10" t="str">
        <f t="shared" ca="1" si="24"/>
        <v/>
      </c>
      <c r="B551" s="82" t="s">
        <v>256</v>
      </c>
      <c r="C551" s="10" t="s">
        <v>1400</v>
      </c>
      <c r="D551" s="10" t="s">
        <v>51</v>
      </c>
      <c r="E551" s="83" t="s">
        <v>756</v>
      </c>
      <c r="F551" s="84">
        <v>30</v>
      </c>
      <c r="G551" s="24">
        <f t="shared" si="25"/>
        <v>160</v>
      </c>
      <c r="H551" s="24">
        <f t="shared" si="26"/>
        <v>930</v>
      </c>
      <c r="I551" s="24">
        <v>160</v>
      </c>
      <c r="J551" s="24">
        <v>930</v>
      </c>
      <c r="K551" s="24">
        <v>320</v>
      </c>
      <c r="L551" s="24">
        <v>1860</v>
      </c>
    </row>
    <row r="552" spans="1:12">
      <c r="A552" s="10" t="str">
        <f t="shared" ca="1" si="24"/>
        <v/>
      </c>
      <c r="B552" s="82" t="s">
        <v>256</v>
      </c>
      <c r="C552" s="10" t="s">
        <v>1401</v>
      </c>
      <c r="D552" s="10" t="s">
        <v>51</v>
      </c>
      <c r="E552" s="83" t="s">
        <v>830</v>
      </c>
      <c r="F552" s="84">
        <v>30</v>
      </c>
      <c r="G552" s="24">
        <f t="shared" si="25"/>
        <v>1600</v>
      </c>
      <c r="H552" s="24">
        <f t="shared" si="26"/>
        <v>9300</v>
      </c>
      <c r="I552" s="24">
        <v>1600</v>
      </c>
      <c r="J552" s="24">
        <v>9300</v>
      </c>
      <c r="K552" s="24">
        <v>3200</v>
      </c>
      <c r="L552" s="24">
        <v>18600</v>
      </c>
    </row>
    <row r="553" spans="1:12">
      <c r="A553" s="10" t="str">
        <f t="shared" ca="1" si="24"/>
        <v/>
      </c>
      <c r="B553" s="82" t="s">
        <v>256</v>
      </c>
      <c r="C553" s="10" t="s">
        <v>1402</v>
      </c>
      <c r="D553" s="10" t="s">
        <v>51</v>
      </c>
      <c r="E553" s="83" t="s">
        <v>689</v>
      </c>
      <c r="F553" s="84">
        <v>44</v>
      </c>
      <c r="G553" s="24">
        <f t="shared" si="25"/>
        <v>12000</v>
      </c>
      <c r="H553" s="24">
        <f t="shared" si="26"/>
        <v>69750</v>
      </c>
      <c r="I553" s="24">
        <v>12000</v>
      </c>
      <c r="J553" s="24">
        <v>69750</v>
      </c>
      <c r="K553" s="24">
        <v>24000</v>
      </c>
      <c r="L553" s="24">
        <v>139500</v>
      </c>
    </row>
    <row r="554" spans="1:12">
      <c r="A554" s="10">
        <f t="shared" ca="1" si="24"/>
        <v>554</v>
      </c>
      <c r="B554" s="82" t="s">
        <v>744</v>
      </c>
      <c r="C554" s="10" t="s">
        <v>1403</v>
      </c>
      <c r="D554" s="10" t="s">
        <v>48</v>
      </c>
      <c r="E554" s="83" t="s">
        <v>835</v>
      </c>
      <c r="F554" s="84">
        <v>30</v>
      </c>
      <c r="G554" s="24">
        <f t="shared" si="25"/>
        <v>360</v>
      </c>
      <c r="H554" s="24">
        <f t="shared" si="26"/>
        <v>1872</v>
      </c>
      <c r="I554" s="24">
        <v>360</v>
      </c>
      <c r="J554" s="24">
        <v>1872</v>
      </c>
      <c r="K554" s="24">
        <v>400</v>
      </c>
      <c r="L554" s="24">
        <v>2340</v>
      </c>
    </row>
    <row r="555" spans="1:12">
      <c r="A555" s="10">
        <f t="shared" ca="1" si="24"/>
        <v>556</v>
      </c>
      <c r="B555" s="82" t="s">
        <v>487</v>
      </c>
      <c r="C555" s="10" t="s">
        <v>1404</v>
      </c>
      <c r="D555" s="10" t="s">
        <v>53</v>
      </c>
      <c r="E555" s="83" t="s">
        <v>836</v>
      </c>
      <c r="F555" s="84">
        <v>54</v>
      </c>
      <c r="G555" s="24">
        <f t="shared" si="25"/>
        <v>660</v>
      </c>
      <c r="H555" s="24">
        <f t="shared" si="26"/>
        <v>9375</v>
      </c>
      <c r="I555" s="24">
        <v>660</v>
      </c>
      <c r="J555" s="24">
        <v>9375</v>
      </c>
      <c r="K555" s="24">
        <v>825</v>
      </c>
      <c r="L555" s="24">
        <v>12500</v>
      </c>
    </row>
    <row r="556" spans="1:12">
      <c r="A556" s="10" t="str">
        <f t="shared" ca="1" si="24"/>
        <v/>
      </c>
      <c r="B556" s="82" t="s">
        <v>487</v>
      </c>
      <c r="C556" s="10" t="s">
        <v>1405</v>
      </c>
      <c r="D556" s="10" t="s">
        <v>53</v>
      </c>
      <c r="E556" s="83" t="s">
        <v>690</v>
      </c>
      <c r="F556" s="84">
        <v>54</v>
      </c>
      <c r="G556" s="24">
        <f t="shared" si="25"/>
        <v>660</v>
      </c>
      <c r="H556" s="24">
        <f t="shared" si="26"/>
        <v>9375</v>
      </c>
      <c r="I556" s="24">
        <v>660</v>
      </c>
      <c r="J556" s="24">
        <v>9375</v>
      </c>
      <c r="K556" s="24">
        <v>825</v>
      </c>
      <c r="L556" s="24">
        <v>12500</v>
      </c>
    </row>
    <row r="557" spans="1:12">
      <c r="A557" s="10">
        <f t="shared" ca="1" si="24"/>
        <v>558</v>
      </c>
      <c r="B557" s="82" t="s">
        <v>254</v>
      </c>
      <c r="C557" s="10" t="s">
        <v>1406</v>
      </c>
      <c r="D557" s="10" t="s">
        <v>37</v>
      </c>
      <c r="E557" s="83" t="s">
        <v>691</v>
      </c>
      <c r="F557" s="84">
        <v>49</v>
      </c>
      <c r="G557" s="24">
        <f t="shared" si="25"/>
        <v>0</v>
      </c>
      <c r="H557" s="24">
        <f t="shared" si="26"/>
        <v>2970</v>
      </c>
      <c r="I557" s="24">
        <v>0</v>
      </c>
      <c r="J557" s="24">
        <v>2970</v>
      </c>
      <c r="K557" s="24">
        <v>0</v>
      </c>
      <c r="L557" s="24">
        <v>9900</v>
      </c>
    </row>
    <row r="558" spans="1:12">
      <c r="A558" s="10" t="str">
        <f t="shared" ca="1" si="24"/>
        <v/>
      </c>
      <c r="B558" s="82" t="s">
        <v>254</v>
      </c>
      <c r="C558" s="10" t="s">
        <v>1407</v>
      </c>
      <c r="D558" s="10" t="s">
        <v>37</v>
      </c>
      <c r="E558" s="83" t="s">
        <v>668</v>
      </c>
      <c r="F558" s="84">
        <v>42</v>
      </c>
      <c r="G558" s="24">
        <f t="shared" si="25"/>
        <v>0</v>
      </c>
      <c r="H558" s="24">
        <f t="shared" si="26"/>
        <v>900</v>
      </c>
      <c r="I558" s="24">
        <v>0</v>
      </c>
      <c r="J558" s="24">
        <v>900</v>
      </c>
      <c r="K558" s="24">
        <v>0</v>
      </c>
      <c r="L558" s="24">
        <v>3000</v>
      </c>
    </row>
    <row r="559" spans="1:12">
      <c r="A559" s="10">
        <f t="shared" ca="1" si="24"/>
        <v>559</v>
      </c>
      <c r="B559" s="82" t="s">
        <v>488</v>
      </c>
      <c r="C559" s="10" t="s">
        <v>1408</v>
      </c>
      <c r="D559" s="10" t="s">
        <v>48</v>
      </c>
      <c r="E559" s="83" t="s">
        <v>551</v>
      </c>
      <c r="F559" s="84">
        <v>3</v>
      </c>
      <c r="G559" s="24">
        <f t="shared" si="25"/>
        <v>4.5</v>
      </c>
      <c r="H559" s="24">
        <f t="shared" si="26"/>
        <v>18</v>
      </c>
      <c r="I559" s="24">
        <v>4.5</v>
      </c>
      <c r="J559" s="24">
        <v>18</v>
      </c>
      <c r="K559" s="24">
        <v>9</v>
      </c>
      <c r="L559" s="24">
        <v>90</v>
      </c>
    </row>
    <row r="560" spans="1:12">
      <c r="A560" s="10">
        <f t="shared" ca="1" si="24"/>
        <v>560</v>
      </c>
      <c r="B560" s="82" t="s">
        <v>745</v>
      </c>
      <c r="C560" s="10" t="s">
        <v>1409</v>
      </c>
      <c r="D560" s="10" t="s">
        <v>50</v>
      </c>
      <c r="E560" s="83" t="s">
        <v>837</v>
      </c>
      <c r="F560" s="84">
        <v>30</v>
      </c>
      <c r="G560" s="24">
        <f t="shared" si="25"/>
        <v>33.6</v>
      </c>
      <c r="H560" s="24">
        <f t="shared" si="26"/>
        <v>787.5</v>
      </c>
      <c r="I560" s="24">
        <v>33.6</v>
      </c>
      <c r="J560" s="24">
        <v>787.5</v>
      </c>
      <c r="K560" s="24">
        <v>42</v>
      </c>
      <c r="L560" s="24">
        <v>1050</v>
      </c>
    </row>
    <row r="561" spans="1:12">
      <c r="A561" s="10">
        <f t="shared" ca="1" si="24"/>
        <v>561</v>
      </c>
      <c r="B561" s="82" t="s">
        <v>746</v>
      </c>
      <c r="C561" s="10" t="s">
        <v>1410</v>
      </c>
      <c r="D561" s="10" t="s">
        <v>51</v>
      </c>
      <c r="E561" s="83" t="s">
        <v>757</v>
      </c>
      <c r="F561" s="84">
        <v>30</v>
      </c>
      <c r="G561" s="24">
        <f t="shared" si="25"/>
        <v>22.400000000000002</v>
      </c>
      <c r="H561" s="24">
        <f t="shared" si="26"/>
        <v>52.5</v>
      </c>
      <c r="I561" s="24">
        <v>22.400000000000002</v>
      </c>
      <c r="J561" s="24">
        <v>52.5</v>
      </c>
      <c r="K561" s="24">
        <v>28</v>
      </c>
      <c r="L561" s="24">
        <v>70</v>
      </c>
    </row>
    <row r="562" spans="1:12">
      <c r="A562" s="10">
        <f t="shared" ca="1" si="24"/>
        <v>562</v>
      </c>
      <c r="B562" s="82" t="s">
        <v>489</v>
      </c>
      <c r="C562" s="10" t="s">
        <v>1411</v>
      </c>
      <c r="D562" s="10" t="s">
        <v>50</v>
      </c>
      <c r="E562" s="83" t="s">
        <v>692</v>
      </c>
      <c r="F562" s="84">
        <v>52</v>
      </c>
      <c r="G562" s="24">
        <f t="shared" si="25"/>
        <v>112</v>
      </c>
      <c r="H562" s="24">
        <f t="shared" si="26"/>
        <v>1743</v>
      </c>
      <c r="I562" s="24">
        <v>112</v>
      </c>
      <c r="J562" s="24">
        <v>1743</v>
      </c>
      <c r="K562" s="24">
        <v>140</v>
      </c>
      <c r="L562" s="24">
        <v>2324</v>
      </c>
    </row>
    <row r="563" spans="1:12">
      <c r="A563" s="10">
        <f t="shared" ca="1" si="24"/>
        <v>570</v>
      </c>
      <c r="B563" s="82" t="s">
        <v>247</v>
      </c>
      <c r="C563" s="10" t="s">
        <v>1412</v>
      </c>
      <c r="D563" s="10" t="s">
        <v>52</v>
      </c>
      <c r="E563" s="83" t="s">
        <v>693</v>
      </c>
      <c r="F563" s="84">
        <v>80</v>
      </c>
      <c r="G563" s="24">
        <f t="shared" si="25"/>
        <v>6</v>
      </c>
      <c r="H563" s="24">
        <f t="shared" si="26"/>
        <v>200</v>
      </c>
      <c r="I563" s="24">
        <v>6</v>
      </c>
      <c r="J563" s="24">
        <v>200</v>
      </c>
      <c r="K563" s="24">
        <v>10</v>
      </c>
      <c r="L563" s="24">
        <v>250</v>
      </c>
    </row>
    <row r="564" spans="1:12">
      <c r="A564" s="10" t="str">
        <f t="shared" ca="1" si="24"/>
        <v/>
      </c>
      <c r="B564" s="82" t="s">
        <v>247</v>
      </c>
      <c r="C564" s="10" t="s">
        <v>1413</v>
      </c>
      <c r="D564" s="10" t="s">
        <v>52</v>
      </c>
      <c r="E564" s="83" t="s">
        <v>838</v>
      </c>
      <c r="F564" s="84">
        <v>80</v>
      </c>
      <c r="G564" s="24">
        <f t="shared" si="25"/>
        <v>6</v>
      </c>
      <c r="H564" s="24">
        <f t="shared" si="26"/>
        <v>200</v>
      </c>
      <c r="I564" s="24">
        <v>6</v>
      </c>
      <c r="J564" s="24">
        <v>200</v>
      </c>
      <c r="K564" s="24">
        <v>10</v>
      </c>
      <c r="L564" s="24">
        <v>250</v>
      </c>
    </row>
    <row r="565" spans="1:12">
      <c r="A565" s="10" t="str">
        <f t="shared" ca="1" si="24"/>
        <v/>
      </c>
      <c r="B565" s="82" t="s">
        <v>247</v>
      </c>
      <c r="C565" s="10" t="s">
        <v>1414</v>
      </c>
      <c r="D565" s="10" t="s">
        <v>52</v>
      </c>
      <c r="E565" s="83" t="s">
        <v>839</v>
      </c>
      <c r="F565" s="84">
        <v>80</v>
      </c>
      <c r="G565" s="24">
        <f t="shared" si="25"/>
        <v>6</v>
      </c>
      <c r="H565" s="24">
        <f t="shared" si="26"/>
        <v>200</v>
      </c>
      <c r="I565" s="24">
        <v>6</v>
      </c>
      <c r="J565" s="24">
        <v>200</v>
      </c>
      <c r="K565" s="24">
        <v>10</v>
      </c>
      <c r="L565" s="24">
        <v>250</v>
      </c>
    </row>
    <row r="566" spans="1:12">
      <c r="A566" s="10" t="str">
        <f t="shared" ca="1" si="24"/>
        <v/>
      </c>
      <c r="B566" s="82" t="s">
        <v>247</v>
      </c>
      <c r="C566" s="10" t="s">
        <v>1415</v>
      </c>
      <c r="D566" s="10" t="s">
        <v>52</v>
      </c>
      <c r="E566" s="83" t="s">
        <v>694</v>
      </c>
      <c r="F566" s="84">
        <v>72</v>
      </c>
      <c r="G566" s="24">
        <f t="shared" si="25"/>
        <v>6</v>
      </c>
      <c r="H566" s="24">
        <f t="shared" si="26"/>
        <v>200</v>
      </c>
      <c r="I566" s="24">
        <v>6</v>
      </c>
      <c r="J566" s="24">
        <v>200</v>
      </c>
      <c r="K566" s="24">
        <v>10</v>
      </c>
      <c r="L566" s="24">
        <v>250</v>
      </c>
    </row>
    <row r="567" spans="1:12">
      <c r="A567" s="10" t="str">
        <f t="shared" ca="1" si="24"/>
        <v/>
      </c>
      <c r="B567" s="82" t="s">
        <v>247</v>
      </c>
      <c r="C567" s="10" t="s">
        <v>1416</v>
      </c>
      <c r="D567" s="10" t="s">
        <v>52</v>
      </c>
      <c r="E567" s="83" t="s">
        <v>840</v>
      </c>
      <c r="F567" s="84">
        <v>72</v>
      </c>
      <c r="G567" s="24">
        <f t="shared" si="25"/>
        <v>60</v>
      </c>
      <c r="H567" s="24">
        <f t="shared" si="26"/>
        <v>2000</v>
      </c>
      <c r="I567" s="24">
        <v>60</v>
      </c>
      <c r="J567" s="24">
        <v>2000</v>
      </c>
      <c r="K567" s="24">
        <v>100</v>
      </c>
      <c r="L567" s="24">
        <v>2500</v>
      </c>
    </row>
    <row r="568" spans="1:12">
      <c r="A568" s="10" t="str">
        <f t="shared" ca="1" si="24"/>
        <v/>
      </c>
      <c r="B568" s="82" t="s">
        <v>247</v>
      </c>
      <c r="C568" s="10" t="s">
        <v>1417</v>
      </c>
      <c r="D568" s="10" t="s">
        <v>52</v>
      </c>
      <c r="E568" s="83" t="s">
        <v>695</v>
      </c>
      <c r="F568" s="84">
        <v>72</v>
      </c>
      <c r="G568" s="24">
        <f t="shared" si="25"/>
        <v>24</v>
      </c>
      <c r="H568" s="24">
        <f t="shared" si="26"/>
        <v>800</v>
      </c>
      <c r="I568" s="24">
        <v>24</v>
      </c>
      <c r="J568" s="24">
        <v>800</v>
      </c>
      <c r="K568" s="24">
        <v>40</v>
      </c>
      <c r="L568" s="24">
        <v>1000</v>
      </c>
    </row>
    <row r="569" spans="1:12">
      <c r="A569" s="10" t="str">
        <f t="shared" ca="1" si="24"/>
        <v/>
      </c>
      <c r="B569" s="82" t="s">
        <v>247</v>
      </c>
      <c r="C569" s="10" t="s">
        <v>1418</v>
      </c>
      <c r="D569" s="10" t="s">
        <v>52</v>
      </c>
      <c r="E569" s="83" t="s">
        <v>696</v>
      </c>
      <c r="F569" s="84">
        <v>75</v>
      </c>
      <c r="G569" s="24">
        <f t="shared" si="25"/>
        <v>0</v>
      </c>
      <c r="H569" s="24">
        <f t="shared" si="26"/>
        <v>0</v>
      </c>
      <c r="I569" s="24">
        <v>0</v>
      </c>
      <c r="J569" s="24">
        <v>0</v>
      </c>
      <c r="K569" s="24">
        <v>0</v>
      </c>
      <c r="L569" s="24">
        <v>0</v>
      </c>
    </row>
    <row r="570" spans="1:12">
      <c r="A570" s="10" t="str">
        <f t="shared" ca="1" si="24"/>
        <v/>
      </c>
      <c r="B570" s="82" t="s">
        <v>247</v>
      </c>
      <c r="C570" s="10" t="s">
        <v>1419</v>
      </c>
      <c r="D570" s="10" t="s">
        <v>52</v>
      </c>
      <c r="E570" s="83" t="s">
        <v>670</v>
      </c>
      <c r="F570" s="84">
        <v>72</v>
      </c>
      <c r="G570" s="24">
        <f t="shared" si="25"/>
        <v>18</v>
      </c>
      <c r="H570" s="24">
        <f t="shared" si="26"/>
        <v>600</v>
      </c>
      <c r="I570" s="24">
        <v>18</v>
      </c>
      <c r="J570" s="24">
        <v>600</v>
      </c>
      <c r="K570" s="24">
        <v>30</v>
      </c>
      <c r="L570" s="24">
        <v>750</v>
      </c>
    </row>
    <row r="571" spans="1:12">
      <c r="A571" s="10">
        <f t="shared" ca="1" si="24"/>
        <v>571</v>
      </c>
      <c r="B571" s="82" t="s">
        <v>250</v>
      </c>
      <c r="C571" s="10" t="s">
        <v>1420</v>
      </c>
      <c r="D571" s="10" t="s">
        <v>52</v>
      </c>
      <c r="E571" s="83" t="s">
        <v>697</v>
      </c>
      <c r="F571" s="84">
        <v>72</v>
      </c>
      <c r="G571" s="24">
        <f t="shared" si="25"/>
        <v>4.8</v>
      </c>
      <c r="H571" s="24">
        <f t="shared" si="26"/>
        <v>160</v>
      </c>
      <c r="I571" s="24">
        <v>4.8</v>
      </c>
      <c r="J571" s="24">
        <v>160</v>
      </c>
      <c r="K571" s="24">
        <v>8</v>
      </c>
      <c r="L571" s="24">
        <v>200</v>
      </c>
    </row>
    <row r="572" spans="1:12">
      <c r="A572" s="10">
        <f t="shared" ca="1" si="24"/>
        <v>572</v>
      </c>
      <c r="B572" s="82" t="s">
        <v>490</v>
      </c>
      <c r="C572" s="10" t="s">
        <v>1421</v>
      </c>
      <c r="D572" s="10" t="s">
        <v>52</v>
      </c>
      <c r="E572" s="83" t="s">
        <v>698</v>
      </c>
      <c r="F572" s="84">
        <v>28</v>
      </c>
      <c r="G572" s="24">
        <f t="shared" si="25"/>
        <v>18000</v>
      </c>
      <c r="H572" s="24">
        <f t="shared" si="26"/>
        <v>270000</v>
      </c>
      <c r="I572" s="24">
        <v>18000</v>
      </c>
      <c r="J572" s="24">
        <v>270000</v>
      </c>
      <c r="K572" s="24">
        <v>30000</v>
      </c>
      <c r="L572" s="24">
        <v>450000</v>
      </c>
    </row>
    <row r="573" spans="1:12">
      <c r="A573" s="10">
        <f t="shared" ca="1" si="24"/>
        <v>573</v>
      </c>
      <c r="B573" s="82" t="s">
        <v>257</v>
      </c>
      <c r="C573" s="10" t="s">
        <v>1422</v>
      </c>
      <c r="D573" s="10" t="s">
        <v>52</v>
      </c>
      <c r="E573" s="83" t="s">
        <v>699</v>
      </c>
      <c r="F573" s="84">
        <v>72</v>
      </c>
      <c r="G573" s="24">
        <f t="shared" si="25"/>
        <v>70</v>
      </c>
      <c r="H573" s="24">
        <f t="shared" si="26"/>
        <v>2100</v>
      </c>
      <c r="I573" s="24">
        <v>70</v>
      </c>
      <c r="J573" s="24">
        <v>2100</v>
      </c>
      <c r="K573" s="24">
        <v>140</v>
      </c>
      <c r="L573" s="24">
        <v>5250</v>
      </c>
    </row>
    <row r="574" spans="1:12">
      <c r="A574" s="10">
        <f t="shared" ca="1" si="24"/>
        <v>574</v>
      </c>
      <c r="B574" s="82" t="s">
        <v>747</v>
      </c>
      <c r="C574" s="10" t="s">
        <v>1423</v>
      </c>
      <c r="D574" s="10" t="s">
        <v>51</v>
      </c>
      <c r="E574" s="83" t="s">
        <v>841</v>
      </c>
      <c r="F574" s="84">
        <v>29</v>
      </c>
      <c r="G574" s="24">
        <f t="shared" si="25"/>
        <v>22.5</v>
      </c>
      <c r="H574" s="24">
        <f t="shared" si="26"/>
        <v>629.20000000000016</v>
      </c>
      <c r="I574" s="24">
        <v>22.5</v>
      </c>
      <c r="J574" s="24">
        <v>629.20000000000016</v>
      </c>
      <c r="K574" s="24">
        <v>25</v>
      </c>
      <c r="L574" s="24">
        <v>786.50000000000011</v>
      </c>
    </row>
    <row r="575" spans="1:12">
      <c r="A575" s="10">
        <f t="shared" ca="1" si="24"/>
        <v>575</v>
      </c>
      <c r="B575" s="82" t="s">
        <v>221</v>
      </c>
      <c r="C575" s="10" t="s">
        <v>1424</v>
      </c>
      <c r="D575" s="10" t="s">
        <v>49</v>
      </c>
      <c r="E575" s="83" t="s">
        <v>700</v>
      </c>
      <c r="F575" s="84">
        <v>52</v>
      </c>
      <c r="G575" s="24">
        <f t="shared" si="25"/>
        <v>18</v>
      </c>
      <c r="H575" s="24">
        <f t="shared" si="26"/>
        <v>18</v>
      </c>
      <c r="I575" s="24">
        <v>18</v>
      </c>
      <c r="J575" s="24">
        <v>18</v>
      </c>
      <c r="K575" s="24">
        <v>20</v>
      </c>
      <c r="L575" s="24">
        <v>20</v>
      </c>
    </row>
    <row r="576" spans="1:12">
      <c r="A576" s="10">
        <f t="shared" ca="1" si="24"/>
        <v>576</v>
      </c>
      <c r="B576" s="82" t="s">
        <v>229</v>
      </c>
      <c r="C576" s="10" t="s">
        <v>1425</v>
      </c>
      <c r="D576" s="10" t="s">
        <v>49</v>
      </c>
      <c r="E576" s="83" t="s">
        <v>701</v>
      </c>
      <c r="F576" s="84">
        <v>52</v>
      </c>
      <c r="G576" s="24">
        <f t="shared" si="25"/>
        <v>9</v>
      </c>
      <c r="H576" s="24">
        <f t="shared" si="26"/>
        <v>0</v>
      </c>
      <c r="I576" s="24">
        <v>9</v>
      </c>
      <c r="J576" s="24">
        <v>0</v>
      </c>
      <c r="K576" s="24">
        <v>10</v>
      </c>
      <c r="L576" s="24">
        <v>0</v>
      </c>
    </row>
    <row r="577" spans="1:12">
      <c r="A577" s="10">
        <f t="shared" ca="1" si="24"/>
        <v>577</v>
      </c>
      <c r="B577" s="82" t="s">
        <v>236</v>
      </c>
      <c r="C577" s="10" t="s">
        <v>1426</v>
      </c>
      <c r="D577" s="10" t="s">
        <v>49</v>
      </c>
      <c r="E577" s="83" t="s">
        <v>702</v>
      </c>
      <c r="F577" s="84">
        <v>52</v>
      </c>
      <c r="G577" s="24">
        <f t="shared" si="25"/>
        <v>45</v>
      </c>
      <c r="H577" s="24">
        <f t="shared" si="26"/>
        <v>45</v>
      </c>
      <c r="I577" s="24">
        <v>45</v>
      </c>
      <c r="J577" s="24">
        <v>45</v>
      </c>
      <c r="K577" s="24">
        <v>50</v>
      </c>
      <c r="L577" s="24">
        <v>50</v>
      </c>
    </row>
    <row r="578" spans="1:12">
      <c r="A578" s="10">
        <f t="shared" ref="A578:A591" ca="1" si="27">IF(B577=B578,"",ROW(A578)-1+MATCH(B578,INDIRECT("B"&amp;ROW(A578)&amp;":"&amp;"B"&amp;$A$1),1))</f>
        <v>578</v>
      </c>
      <c r="B578" s="82" t="s">
        <v>241</v>
      </c>
      <c r="C578" s="10" t="s">
        <v>1427</v>
      </c>
      <c r="D578" s="10" t="s">
        <v>49</v>
      </c>
      <c r="E578" s="83" t="s">
        <v>703</v>
      </c>
      <c r="F578" s="84">
        <v>64</v>
      </c>
      <c r="G578" s="24">
        <f t="shared" ref="G578:G591" si="28">IF($N$2=1,I578,K578)</f>
        <v>56</v>
      </c>
      <c r="H578" s="24">
        <f t="shared" ref="H578:H591" si="29">IF($N$2=1,J578,L578)</f>
        <v>1260</v>
      </c>
      <c r="I578" s="24">
        <v>56</v>
      </c>
      <c r="J578" s="24">
        <v>1260</v>
      </c>
      <c r="K578" s="24">
        <v>140</v>
      </c>
      <c r="L578" s="24">
        <v>4200</v>
      </c>
    </row>
    <row r="579" spans="1:12">
      <c r="A579" s="10">
        <f t="shared" ca="1" si="27"/>
        <v>581</v>
      </c>
      <c r="B579" s="82" t="s">
        <v>491</v>
      </c>
      <c r="C579" s="10" t="s">
        <v>1428</v>
      </c>
      <c r="D579" s="10" t="s">
        <v>48</v>
      </c>
      <c r="E579" s="83" t="s">
        <v>704</v>
      </c>
      <c r="F579" s="84">
        <v>52</v>
      </c>
      <c r="G579" s="24">
        <f t="shared" si="28"/>
        <v>616</v>
      </c>
      <c r="H579" s="24">
        <f t="shared" si="29"/>
        <v>9975</v>
      </c>
      <c r="I579" s="24">
        <v>616</v>
      </c>
      <c r="J579" s="24">
        <v>9975</v>
      </c>
      <c r="K579" s="24">
        <v>770</v>
      </c>
      <c r="L579" s="24">
        <v>13300</v>
      </c>
    </row>
    <row r="580" spans="1:12">
      <c r="A580" s="10" t="str">
        <f t="shared" ca="1" si="27"/>
        <v/>
      </c>
      <c r="B580" s="82" t="s">
        <v>491</v>
      </c>
      <c r="C580" s="10" t="s">
        <v>1429</v>
      </c>
      <c r="D580" s="10" t="s">
        <v>48</v>
      </c>
      <c r="E580" s="83" t="s">
        <v>705</v>
      </c>
      <c r="F580" s="84">
        <v>25</v>
      </c>
      <c r="G580" s="24">
        <f t="shared" si="28"/>
        <v>792</v>
      </c>
      <c r="H580" s="24">
        <f t="shared" si="29"/>
        <v>12825</v>
      </c>
      <c r="I580" s="24">
        <v>792</v>
      </c>
      <c r="J580" s="24">
        <v>12825</v>
      </c>
      <c r="K580" s="24">
        <v>990</v>
      </c>
      <c r="L580" s="24">
        <v>17100</v>
      </c>
    </row>
    <row r="581" spans="1:12">
      <c r="A581" s="10" t="str">
        <f t="shared" ca="1" si="27"/>
        <v/>
      </c>
      <c r="B581" s="82" t="s">
        <v>491</v>
      </c>
      <c r="C581" s="10" t="s">
        <v>1430</v>
      </c>
      <c r="D581" s="10" t="s">
        <v>48</v>
      </c>
      <c r="E581" s="83" t="s">
        <v>706</v>
      </c>
      <c r="F581" s="84">
        <v>52</v>
      </c>
      <c r="G581" s="24">
        <f t="shared" si="28"/>
        <v>616</v>
      </c>
      <c r="H581" s="24">
        <f t="shared" si="29"/>
        <v>9975</v>
      </c>
      <c r="I581" s="24">
        <v>616</v>
      </c>
      <c r="J581" s="24">
        <v>9975</v>
      </c>
      <c r="K581" s="24">
        <v>770</v>
      </c>
      <c r="L581" s="24">
        <v>13300</v>
      </c>
    </row>
    <row r="582" spans="1:12">
      <c r="A582" s="10">
        <f t="shared" ca="1" si="27"/>
        <v>583</v>
      </c>
      <c r="B582" s="82" t="s">
        <v>220</v>
      </c>
      <c r="C582" s="10" t="s">
        <v>1431</v>
      </c>
      <c r="D582" s="10" t="s">
        <v>48</v>
      </c>
      <c r="E582" s="83" t="s">
        <v>704</v>
      </c>
      <c r="F582" s="84">
        <v>52</v>
      </c>
      <c r="G582" s="24">
        <f t="shared" si="28"/>
        <v>24</v>
      </c>
      <c r="H582" s="24">
        <f t="shared" si="29"/>
        <v>1312.5</v>
      </c>
      <c r="I582" s="24">
        <v>24</v>
      </c>
      <c r="J582" s="24">
        <v>1312.5</v>
      </c>
      <c r="K582" s="24">
        <v>30</v>
      </c>
      <c r="L582" s="24">
        <v>1750</v>
      </c>
    </row>
    <row r="583" spans="1:12">
      <c r="A583" s="10" t="str">
        <f t="shared" ca="1" si="27"/>
        <v/>
      </c>
      <c r="B583" s="82" t="s">
        <v>220</v>
      </c>
      <c r="C583" s="10" t="s">
        <v>1432</v>
      </c>
      <c r="D583" s="10" t="s">
        <v>48</v>
      </c>
      <c r="E583" s="83" t="s">
        <v>705</v>
      </c>
      <c r="F583" s="84">
        <v>30</v>
      </c>
      <c r="G583" s="24">
        <f t="shared" si="28"/>
        <v>33.6</v>
      </c>
      <c r="H583" s="24">
        <f t="shared" si="29"/>
        <v>1837.5</v>
      </c>
      <c r="I583" s="24">
        <v>33.6</v>
      </c>
      <c r="J583" s="24">
        <v>1837.5</v>
      </c>
      <c r="K583" s="24">
        <v>42</v>
      </c>
      <c r="L583" s="24">
        <v>2450</v>
      </c>
    </row>
    <row r="584" spans="1:12">
      <c r="A584" s="10">
        <f t="shared" ca="1" si="27"/>
        <v>584</v>
      </c>
      <c r="B584" s="82" t="s">
        <v>748</v>
      </c>
      <c r="C584" s="10" t="s">
        <v>1433</v>
      </c>
      <c r="D584" s="10" t="s">
        <v>53</v>
      </c>
      <c r="E584" s="83" t="s">
        <v>765</v>
      </c>
      <c r="F584" s="84">
        <v>56</v>
      </c>
      <c r="G584" s="24">
        <f t="shared" si="28"/>
        <v>1400</v>
      </c>
      <c r="H584" s="24">
        <f t="shared" si="29"/>
        <v>0</v>
      </c>
      <c r="I584" s="24">
        <v>1400</v>
      </c>
      <c r="J584" s="24">
        <v>0</v>
      </c>
      <c r="K584" s="24">
        <v>1750</v>
      </c>
      <c r="L584" s="24">
        <v>0</v>
      </c>
    </row>
    <row r="585" spans="1:12">
      <c r="A585" s="10">
        <f t="shared" ca="1" si="27"/>
        <v>585</v>
      </c>
      <c r="B585" s="82" t="s">
        <v>749</v>
      </c>
      <c r="C585" s="10" t="s">
        <v>1434</v>
      </c>
      <c r="D585" s="10" t="s">
        <v>51</v>
      </c>
      <c r="E585" s="83" t="s">
        <v>753</v>
      </c>
      <c r="F585" s="84">
        <v>29</v>
      </c>
      <c r="G585" s="24">
        <f t="shared" si="28"/>
        <v>400</v>
      </c>
      <c r="H585" s="24">
        <f t="shared" si="29"/>
        <v>1200</v>
      </c>
      <c r="I585" s="24">
        <v>400</v>
      </c>
      <c r="J585" s="24">
        <v>1200</v>
      </c>
      <c r="K585" s="24">
        <v>500</v>
      </c>
      <c r="L585" s="24">
        <v>2000</v>
      </c>
    </row>
    <row r="586" spans="1:12">
      <c r="A586" s="10">
        <f t="shared" ca="1" si="27"/>
        <v>586</v>
      </c>
      <c r="B586" s="82" t="s">
        <v>63</v>
      </c>
      <c r="C586" s="10" t="s">
        <v>1435</v>
      </c>
      <c r="D586" s="10" t="s">
        <v>53</v>
      </c>
      <c r="E586" s="83" t="s">
        <v>668</v>
      </c>
      <c r="F586" s="84">
        <v>42</v>
      </c>
      <c r="G586" s="24">
        <f t="shared" si="28"/>
        <v>1468.75</v>
      </c>
      <c r="H586" s="24">
        <f t="shared" si="29"/>
        <v>2115</v>
      </c>
      <c r="I586" s="24">
        <v>1468.75</v>
      </c>
      <c r="J586" s="24">
        <v>2115</v>
      </c>
      <c r="K586" s="24">
        <v>5875</v>
      </c>
      <c r="L586" s="24">
        <v>14100</v>
      </c>
    </row>
    <row r="587" spans="1:12">
      <c r="A587" s="10">
        <f t="shared" ca="1" si="27"/>
        <v>587</v>
      </c>
      <c r="B587" s="82" t="s">
        <v>750</v>
      </c>
      <c r="C587" s="10" t="s">
        <v>1436</v>
      </c>
      <c r="D587" s="10" t="s">
        <v>53</v>
      </c>
      <c r="E587" s="83" t="s">
        <v>842</v>
      </c>
      <c r="F587" s="84">
        <v>80</v>
      </c>
      <c r="G587" s="24">
        <f t="shared" si="28"/>
        <v>14.399999999999999</v>
      </c>
      <c r="H587" s="24">
        <f t="shared" si="29"/>
        <v>560</v>
      </c>
      <c r="I587" s="24">
        <v>14.399999999999999</v>
      </c>
      <c r="J587" s="24">
        <v>560</v>
      </c>
      <c r="K587" s="24">
        <v>24</v>
      </c>
      <c r="L587" s="24">
        <v>700</v>
      </c>
    </row>
    <row r="588" spans="1:12">
      <c r="A588" s="10">
        <f t="shared" ca="1" si="27"/>
        <v>588</v>
      </c>
      <c r="B588" s="82" t="s">
        <v>751</v>
      </c>
      <c r="C588" s="10" t="s">
        <v>1437</v>
      </c>
      <c r="D588" s="10" t="s">
        <v>53</v>
      </c>
      <c r="E588" s="83" t="s">
        <v>843</v>
      </c>
      <c r="F588" s="84">
        <v>30</v>
      </c>
      <c r="G588" s="24">
        <f t="shared" si="28"/>
        <v>7</v>
      </c>
      <c r="H588" s="24">
        <f t="shared" si="29"/>
        <v>330</v>
      </c>
      <c r="I588" s="24">
        <v>7</v>
      </c>
      <c r="J588" s="24">
        <v>330</v>
      </c>
      <c r="K588" s="24">
        <v>14</v>
      </c>
      <c r="L588" s="24">
        <v>660</v>
      </c>
    </row>
    <row r="589" spans="1:12">
      <c r="A589" s="10">
        <f t="shared" ca="1" si="27"/>
        <v>589</v>
      </c>
      <c r="B589" s="82" t="s">
        <v>269</v>
      </c>
      <c r="C589" s="10" t="s">
        <v>1438</v>
      </c>
      <c r="D589" s="10" t="s">
        <v>53</v>
      </c>
      <c r="E589" s="83" t="s">
        <v>707</v>
      </c>
      <c r="F589" s="84">
        <v>52</v>
      </c>
      <c r="G589" s="24">
        <f t="shared" si="28"/>
        <v>4.3200000000000012</v>
      </c>
      <c r="H589" s="24">
        <f t="shared" si="29"/>
        <v>25.6</v>
      </c>
      <c r="I589" s="24">
        <v>4.3200000000000012</v>
      </c>
      <c r="J589" s="24">
        <v>25.6</v>
      </c>
      <c r="K589" s="24">
        <v>4.8000000000000007</v>
      </c>
      <c r="L589" s="24">
        <v>32</v>
      </c>
    </row>
    <row r="590" spans="1:12">
      <c r="A590" s="10">
        <f t="shared" ca="1" si="27"/>
        <v>590</v>
      </c>
      <c r="B590" s="82" t="s">
        <v>272</v>
      </c>
      <c r="C590" s="10" t="s">
        <v>1439</v>
      </c>
      <c r="D590" s="10" t="s">
        <v>53</v>
      </c>
      <c r="E590" s="83" t="s">
        <v>708</v>
      </c>
      <c r="F590" s="84">
        <v>49</v>
      </c>
      <c r="G590" s="24">
        <f t="shared" si="28"/>
        <v>950</v>
      </c>
      <c r="H590" s="24">
        <f t="shared" si="29"/>
        <v>2850</v>
      </c>
      <c r="I590" s="24">
        <v>950</v>
      </c>
      <c r="J590" s="24">
        <v>2850</v>
      </c>
      <c r="K590" s="24">
        <v>1900</v>
      </c>
      <c r="L590" s="24">
        <v>5700</v>
      </c>
    </row>
    <row r="591" spans="1:12">
      <c r="A591" s="10">
        <f t="shared" ca="1" si="27"/>
        <v>591</v>
      </c>
      <c r="B591" s="82" t="s">
        <v>492</v>
      </c>
      <c r="C591" s="10" t="s">
        <v>1440</v>
      </c>
      <c r="D591" s="10" t="s">
        <v>53</v>
      </c>
      <c r="E591" s="83" t="s">
        <v>709</v>
      </c>
      <c r="F591" s="84">
        <v>22</v>
      </c>
      <c r="G591" s="24">
        <f t="shared" si="28"/>
        <v>18</v>
      </c>
      <c r="H591" s="24">
        <f t="shared" si="29"/>
        <v>30</v>
      </c>
      <c r="I591" s="24">
        <v>18</v>
      </c>
      <c r="J591" s="24">
        <v>30</v>
      </c>
      <c r="K591" s="24">
        <v>30</v>
      </c>
      <c r="L591" s="24">
        <v>50</v>
      </c>
    </row>
    <row r="592" spans="1:12">
      <c r="A592" s="10"/>
      <c r="B592" s="10"/>
      <c r="C592" s="10"/>
      <c r="D592" s="10"/>
      <c r="E592" s="10"/>
      <c r="F592" s="10"/>
      <c r="G592" s="24"/>
      <c r="H592" s="24"/>
      <c r="I592" s="24"/>
      <c r="J592" s="24"/>
      <c r="K592" s="24"/>
      <c r="L592" s="24"/>
    </row>
    <row r="593" spans="1:12">
      <c r="A593"/>
      <c r="B593"/>
      <c r="C593"/>
      <c r="D593"/>
      <c r="E593"/>
      <c r="F593"/>
      <c r="G593"/>
      <c r="H593"/>
      <c r="I593"/>
      <c r="J593"/>
      <c r="K593"/>
      <c r="L593"/>
    </row>
    <row r="594" spans="1:12">
      <c r="A594"/>
      <c r="B594"/>
      <c r="C594"/>
      <c r="D594"/>
      <c r="E594"/>
      <c r="F594"/>
      <c r="G594"/>
      <c r="H594"/>
      <c r="I594"/>
      <c r="J594"/>
      <c r="K594"/>
      <c r="L594"/>
    </row>
    <row r="595" spans="1:12">
      <c r="A595"/>
      <c r="B595"/>
      <c r="C595"/>
      <c r="D595"/>
      <c r="E595"/>
      <c r="F595"/>
      <c r="G595"/>
      <c r="H595"/>
      <c r="I595"/>
      <c r="J595"/>
      <c r="K595"/>
      <c r="L595"/>
    </row>
    <row r="596" spans="1:12">
      <c r="A596"/>
      <c r="B596"/>
      <c r="C596"/>
      <c r="D596"/>
      <c r="E596"/>
      <c r="F596"/>
      <c r="G596"/>
      <c r="H596"/>
      <c r="I596"/>
      <c r="J596"/>
      <c r="K596"/>
      <c r="L596"/>
    </row>
    <row r="597" spans="1:12">
      <c r="A597"/>
      <c r="B597"/>
      <c r="C597"/>
      <c r="D597"/>
      <c r="E597"/>
      <c r="F597"/>
      <c r="G597"/>
      <c r="H597"/>
      <c r="I597"/>
      <c r="J597"/>
      <c r="K597"/>
      <c r="L597"/>
    </row>
    <row r="598" spans="1:12">
      <c r="A598"/>
      <c r="B598"/>
      <c r="C598"/>
      <c r="D598"/>
      <c r="E598"/>
      <c r="F598"/>
      <c r="G598"/>
      <c r="H598"/>
      <c r="I598"/>
      <c r="J598"/>
      <c r="K598"/>
      <c r="L598"/>
    </row>
    <row r="599" spans="1:12">
      <c r="A599"/>
      <c r="B599"/>
      <c r="C599"/>
      <c r="D599"/>
      <c r="E599"/>
      <c r="F599"/>
      <c r="G599"/>
      <c r="H599"/>
      <c r="I599"/>
      <c r="J599"/>
      <c r="K599"/>
      <c r="L599"/>
    </row>
    <row r="600" spans="1:12">
      <c r="A600"/>
      <c r="B600"/>
      <c r="C600"/>
      <c r="D600"/>
      <c r="E600"/>
      <c r="F600"/>
      <c r="G600"/>
      <c r="H600"/>
      <c r="I600"/>
      <c r="J600"/>
      <c r="K600"/>
      <c r="L600"/>
    </row>
    <row r="601" spans="1:12">
      <c r="A601"/>
      <c r="B601"/>
      <c r="C601"/>
      <c r="D601"/>
      <c r="E601"/>
      <c r="F601"/>
      <c r="G601"/>
      <c r="H601"/>
      <c r="I601"/>
      <c r="J601"/>
      <c r="K601"/>
      <c r="L601"/>
    </row>
    <row r="602" spans="1:12">
      <c r="A602"/>
      <c r="B602"/>
      <c r="C602"/>
      <c r="D602"/>
      <c r="E602"/>
      <c r="F602"/>
      <c r="G602"/>
      <c r="H602"/>
      <c r="I602"/>
      <c r="J602"/>
      <c r="K602"/>
      <c r="L602"/>
    </row>
    <row r="603" spans="1:12">
      <c r="A603"/>
      <c r="B603"/>
      <c r="C603"/>
      <c r="D603"/>
      <c r="E603"/>
      <c r="F603"/>
      <c r="G603"/>
      <c r="H603"/>
      <c r="I603"/>
      <c r="J603"/>
      <c r="K603"/>
      <c r="L603"/>
    </row>
    <row r="604" spans="1:12">
      <c r="A604"/>
      <c r="B604"/>
      <c r="C604"/>
      <c r="D604"/>
      <c r="E604"/>
      <c r="F604"/>
      <c r="G604"/>
      <c r="H604"/>
      <c r="I604"/>
      <c r="J604"/>
      <c r="K604"/>
      <c r="L604"/>
    </row>
    <row r="605" spans="1:12">
      <c r="A605"/>
      <c r="B605"/>
      <c r="C605"/>
      <c r="D605"/>
      <c r="E605"/>
      <c r="F605"/>
      <c r="G605"/>
      <c r="H605"/>
      <c r="I605"/>
      <c r="J605"/>
      <c r="K605"/>
      <c r="L605"/>
    </row>
    <row r="606" spans="1:12">
      <c r="A606"/>
      <c r="B606"/>
      <c r="C606"/>
      <c r="D606"/>
      <c r="E606"/>
      <c r="F606"/>
      <c r="G606"/>
      <c r="H606"/>
      <c r="I606"/>
      <c r="J606"/>
      <c r="K606"/>
      <c r="L606"/>
    </row>
    <row r="607" spans="1:12">
      <c r="A607"/>
      <c r="B607"/>
      <c r="C607"/>
      <c r="D607"/>
      <c r="E607"/>
      <c r="F607"/>
      <c r="G607"/>
      <c r="H607"/>
      <c r="I607"/>
      <c r="J607"/>
      <c r="K607"/>
      <c r="L607"/>
    </row>
    <row r="608" spans="1:12">
      <c r="A608"/>
      <c r="B608"/>
      <c r="C608"/>
      <c r="D608"/>
      <c r="E608"/>
      <c r="F608"/>
      <c r="G608"/>
      <c r="H608"/>
      <c r="I608"/>
      <c r="J608"/>
      <c r="K608"/>
      <c r="L608"/>
    </row>
    <row r="609" spans="1:12">
      <c r="A609"/>
      <c r="B609"/>
      <c r="C609"/>
      <c r="D609"/>
      <c r="E609"/>
      <c r="F609"/>
      <c r="G609"/>
      <c r="H609"/>
      <c r="I609"/>
      <c r="J609"/>
      <c r="K609"/>
      <c r="L609"/>
    </row>
    <row r="610" spans="1:12">
      <c r="A610"/>
      <c r="B610"/>
      <c r="C610"/>
      <c r="D610"/>
      <c r="E610"/>
      <c r="F610"/>
      <c r="G610"/>
      <c r="H610"/>
      <c r="I610"/>
      <c r="J610"/>
      <c r="K610"/>
      <c r="L610"/>
    </row>
    <row r="611" spans="1:12">
      <c r="A611"/>
      <c r="B611"/>
      <c r="C611"/>
      <c r="D611"/>
      <c r="E611"/>
      <c r="F611"/>
      <c r="G611"/>
      <c r="H611"/>
      <c r="I611"/>
      <c r="J611"/>
      <c r="K611"/>
      <c r="L611"/>
    </row>
    <row r="612" spans="1:12">
      <c r="A612"/>
      <c r="B612"/>
      <c r="C612"/>
      <c r="D612"/>
      <c r="E612"/>
      <c r="F612"/>
      <c r="G612"/>
      <c r="H612"/>
      <c r="I612"/>
      <c r="J612"/>
      <c r="K612"/>
      <c r="L612"/>
    </row>
    <row r="613" spans="1:12">
      <c r="A613"/>
      <c r="B613"/>
      <c r="C613"/>
      <c r="D613"/>
      <c r="E613"/>
      <c r="F613"/>
      <c r="G613"/>
      <c r="H613"/>
      <c r="I613"/>
      <c r="J613"/>
      <c r="K613"/>
      <c r="L613"/>
    </row>
    <row r="614" spans="1:12">
      <c r="A614"/>
      <c r="B614"/>
      <c r="C614"/>
      <c r="D614"/>
      <c r="E614"/>
      <c r="F614"/>
      <c r="G614"/>
      <c r="H614"/>
      <c r="I614"/>
      <c r="J614"/>
      <c r="K614"/>
      <c r="L614"/>
    </row>
    <row r="615" spans="1:12">
      <c r="A615"/>
      <c r="B615"/>
      <c r="C615"/>
      <c r="D615"/>
      <c r="E615"/>
      <c r="F615"/>
      <c r="G615"/>
      <c r="H615"/>
      <c r="I615"/>
      <c r="J615"/>
      <c r="K615"/>
      <c r="L615"/>
    </row>
    <row r="616" spans="1:12">
      <c r="A616"/>
      <c r="B616"/>
      <c r="C616"/>
      <c r="D616"/>
      <c r="E616"/>
      <c r="F616"/>
      <c r="G616"/>
      <c r="H616"/>
      <c r="I616"/>
      <c r="J616"/>
      <c r="K616"/>
      <c r="L616"/>
    </row>
    <row r="617" spans="1:12">
      <c r="A617"/>
      <c r="B617"/>
      <c r="C617"/>
      <c r="D617"/>
      <c r="E617"/>
      <c r="F617"/>
      <c r="G617"/>
      <c r="H617"/>
      <c r="I617"/>
      <c r="J617"/>
      <c r="K617"/>
      <c r="L617"/>
    </row>
    <row r="618" spans="1:12">
      <c r="A618"/>
      <c r="B618"/>
      <c r="C618"/>
      <c r="D618"/>
      <c r="E618"/>
      <c r="F618"/>
      <c r="G618"/>
      <c r="H618"/>
      <c r="I618"/>
      <c r="J618"/>
      <c r="K618"/>
      <c r="L618"/>
    </row>
    <row r="619" spans="1:12">
      <c r="A619"/>
      <c r="B619"/>
      <c r="C619"/>
      <c r="D619"/>
      <c r="E619"/>
      <c r="F619"/>
      <c r="G619"/>
      <c r="H619"/>
      <c r="I619"/>
      <c r="J619"/>
      <c r="K619"/>
      <c r="L619"/>
    </row>
    <row r="620" spans="1:12">
      <c r="A620"/>
      <c r="B620"/>
      <c r="C620"/>
      <c r="D620"/>
      <c r="E620"/>
      <c r="F620"/>
      <c r="G620"/>
      <c r="H620"/>
      <c r="I620"/>
      <c r="J620"/>
      <c r="K620"/>
      <c r="L620"/>
    </row>
    <row r="621" spans="1:12">
      <c r="A621"/>
      <c r="B621"/>
      <c r="C621"/>
      <c r="D621"/>
      <c r="E621"/>
      <c r="F621"/>
      <c r="G621"/>
      <c r="H621"/>
      <c r="I621"/>
      <c r="J621"/>
      <c r="K621"/>
      <c r="L621"/>
    </row>
    <row r="622" spans="1:12">
      <c r="A622"/>
      <c r="B622"/>
      <c r="C622"/>
      <c r="D622"/>
      <c r="E622"/>
      <c r="F622"/>
      <c r="G622"/>
      <c r="H622"/>
      <c r="I622"/>
      <c r="J622"/>
      <c r="K622"/>
      <c r="L622"/>
    </row>
    <row r="623" spans="1:12">
      <c r="A623"/>
      <c r="B623"/>
      <c r="C623"/>
      <c r="D623"/>
      <c r="E623"/>
      <c r="F623"/>
      <c r="G623"/>
      <c r="H623"/>
      <c r="I623"/>
      <c r="J623"/>
      <c r="K623"/>
      <c r="L623"/>
    </row>
    <row r="624" spans="1:12">
      <c r="A624"/>
      <c r="B624"/>
      <c r="C624"/>
      <c r="D624"/>
      <c r="E624"/>
      <c r="F624"/>
      <c r="G624"/>
      <c r="H624"/>
      <c r="I624"/>
      <c r="J624"/>
      <c r="K624"/>
      <c r="L624"/>
    </row>
    <row r="625" spans="1:12">
      <c r="A625"/>
      <c r="B625"/>
      <c r="C625"/>
      <c r="D625"/>
      <c r="E625"/>
      <c r="F625"/>
      <c r="G625"/>
      <c r="H625"/>
      <c r="I625"/>
      <c r="J625"/>
      <c r="K625"/>
      <c r="L625"/>
    </row>
    <row r="626" spans="1:12">
      <c r="A626"/>
      <c r="B626"/>
      <c r="C626"/>
      <c r="D626"/>
      <c r="E626"/>
      <c r="F626"/>
      <c r="G626"/>
      <c r="H626"/>
      <c r="I626"/>
      <c r="J626"/>
      <c r="K626"/>
      <c r="L626"/>
    </row>
    <row r="627" spans="1:12">
      <c r="A627"/>
      <c r="B627"/>
      <c r="C627"/>
      <c r="D627"/>
      <c r="E627"/>
      <c r="F627"/>
      <c r="G627"/>
      <c r="H627"/>
      <c r="I627"/>
      <c r="J627"/>
      <c r="K627"/>
      <c r="L627"/>
    </row>
    <row r="628" spans="1:12">
      <c r="A628"/>
      <c r="B628"/>
      <c r="C628"/>
      <c r="D628"/>
      <c r="E628"/>
      <c r="F628"/>
      <c r="G628"/>
      <c r="H628"/>
      <c r="I628"/>
      <c r="J628"/>
      <c r="K628"/>
      <c r="L628"/>
    </row>
    <row r="629" spans="1:12">
      <c r="A629"/>
      <c r="B629"/>
      <c r="C629"/>
      <c r="D629"/>
      <c r="E629"/>
      <c r="F629"/>
      <c r="G629"/>
      <c r="H629"/>
      <c r="I629"/>
      <c r="J629"/>
      <c r="K629"/>
      <c r="L629"/>
    </row>
    <row r="630" spans="1:12">
      <c r="A630"/>
      <c r="B630"/>
      <c r="C630"/>
      <c r="D630"/>
      <c r="E630"/>
      <c r="F630"/>
      <c r="G630"/>
      <c r="H630"/>
      <c r="I630"/>
      <c r="J630"/>
      <c r="K630"/>
      <c r="L630"/>
    </row>
    <row r="631" spans="1:12">
      <c r="A631"/>
      <c r="B631"/>
      <c r="C631"/>
      <c r="D631"/>
      <c r="E631"/>
      <c r="F631"/>
      <c r="G631"/>
      <c r="H631"/>
      <c r="I631"/>
      <c r="J631"/>
      <c r="K631"/>
      <c r="L631"/>
    </row>
    <row r="632" spans="1:12">
      <c r="A632"/>
      <c r="B632"/>
      <c r="C632"/>
      <c r="D632"/>
      <c r="E632"/>
      <c r="F632"/>
      <c r="G632"/>
      <c r="H632"/>
      <c r="I632"/>
      <c r="J632"/>
      <c r="K632"/>
      <c r="L632"/>
    </row>
    <row r="633" spans="1:12">
      <c r="A633"/>
      <c r="B633"/>
      <c r="C633"/>
      <c r="D633"/>
      <c r="E633"/>
      <c r="F633"/>
      <c r="G633"/>
      <c r="H633"/>
      <c r="I633"/>
      <c r="J633"/>
      <c r="K633"/>
      <c r="L633"/>
    </row>
    <row r="634" spans="1:12">
      <c r="A634"/>
      <c r="B634"/>
      <c r="C634"/>
      <c r="D634"/>
      <c r="E634"/>
      <c r="F634"/>
      <c r="G634"/>
      <c r="H634"/>
      <c r="I634"/>
      <c r="J634"/>
      <c r="K634"/>
      <c r="L634"/>
    </row>
    <row r="635" spans="1:12">
      <c r="A635"/>
      <c r="B635"/>
      <c r="C635"/>
      <c r="D635"/>
      <c r="E635"/>
      <c r="F635"/>
      <c r="G635"/>
      <c r="H635"/>
      <c r="I635"/>
      <c r="J635"/>
      <c r="K635"/>
      <c r="L635"/>
    </row>
    <row r="636" spans="1:12">
      <c r="A636"/>
      <c r="B636"/>
      <c r="C636"/>
      <c r="D636"/>
      <c r="E636"/>
      <c r="F636"/>
      <c r="G636"/>
      <c r="H636"/>
      <c r="I636"/>
      <c r="J636"/>
      <c r="K636"/>
      <c r="L636"/>
    </row>
    <row r="637" spans="1:12">
      <c r="A637"/>
      <c r="B637"/>
      <c r="C637"/>
      <c r="D637"/>
      <c r="E637"/>
      <c r="F637"/>
      <c r="G637"/>
      <c r="H637"/>
      <c r="I637"/>
      <c r="J637"/>
      <c r="K637"/>
      <c r="L637"/>
    </row>
    <row r="638" spans="1:12">
      <c r="A638"/>
      <c r="B638"/>
      <c r="C638"/>
      <c r="D638"/>
      <c r="E638"/>
      <c r="F638"/>
      <c r="G638"/>
      <c r="H638"/>
      <c r="I638"/>
      <c r="J638"/>
      <c r="K638"/>
      <c r="L638"/>
    </row>
    <row r="639" spans="1:12">
      <c r="A639"/>
      <c r="B639"/>
      <c r="C639"/>
      <c r="D639"/>
      <c r="E639"/>
      <c r="F639"/>
      <c r="G639"/>
      <c r="H639"/>
      <c r="I639"/>
      <c r="J639"/>
      <c r="K639"/>
      <c r="L639"/>
    </row>
    <row r="640" spans="1:12">
      <c r="A640"/>
      <c r="B640"/>
      <c r="C640"/>
      <c r="D640"/>
      <c r="E640"/>
      <c r="F640"/>
      <c r="G640"/>
      <c r="H640"/>
      <c r="I640"/>
      <c r="J640"/>
      <c r="K640"/>
      <c r="L640"/>
    </row>
    <row r="641" spans="1:12">
      <c r="A641"/>
      <c r="B641"/>
      <c r="C641"/>
      <c r="D641"/>
      <c r="E641"/>
      <c r="F641"/>
      <c r="G641"/>
      <c r="H641"/>
      <c r="I641"/>
      <c r="J641"/>
      <c r="K641"/>
      <c r="L641"/>
    </row>
    <row r="642" spans="1:12">
      <c r="A642"/>
      <c r="B642"/>
      <c r="C642"/>
      <c r="D642"/>
      <c r="E642"/>
      <c r="F642"/>
      <c r="G642"/>
      <c r="H642"/>
      <c r="I642"/>
      <c r="J642"/>
      <c r="K642"/>
      <c r="L642"/>
    </row>
    <row r="643" spans="1:12">
      <c r="A643"/>
      <c r="B643"/>
      <c r="C643"/>
      <c r="D643"/>
      <c r="E643"/>
      <c r="F643"/>
      <c r="G643"/>
      <c r="H643"/>
      <c r="I643"/>
      <c r="J643"/>
      <c r="K643"/>
      <c r="L643"/>
    </row>
    <row r="644" spans="1:12">
      <c r="A644"/>
      <c r="B644"/>
      <c r="C644"/>
      <c r="D644"/>
      <c r="E644"/>
      <c r="F644"/>
      <c r="G644"/>
      <c r="H644"/>
      <c r="I644"/>
      <c r="J644"/>
      <c r="K644"/>
      <c r="L644"/>
    </row>
    <row r="645" spans="1:12">
      <c r="A645"/>
      <c r="B645"/>
      <c r="C645"/>
      <c r="D645"/>
      <c r="E645"/>
      <c r="F645"/>
      <c r="G645"/>
      <c r="H645"/>
      <c r="I645"/>
      <c r="J645"/>
      <c r="K645"/>
      <c r="L645"/>
    </row>
    <row r="646" spans="1:12">
      <c r="A646"/>
      <c r="B646"/>
      <c r="C646"/>
      <c r="D646"/>
      <c r="E646"/>
      <c r="F646"/>
      <c r="G646"/>
      <c r="H646"/>
      <c r="I646"/>
      <c r="J646"/>
      <c r="K646"/>
      <c r="L646"/>
    </row>
    <row r="647" spans="1:12">
      <c r="A647"/>
      <c r="B647"/>
      <c r="C647"/>
      <c r="D647"/>
      <c r="E647"/>
      <c r="F647"/>
      <c r="G647"/>
      <c r="H647"/>
      <c r="I647"/>
      <c r="J647"/>
      <c r="K647"/>
      <c r="L647"/>
    </row>
    <row r="648" spans="1:12">
      <c r="A648"/>
      <c r="B648"/>
      <c r="C648"/>
      <c r="D648"/>
      <c r="E648"/>
      <c r="F648"/>
      <c r="G648"/>
      <c r="H648"/>
      <c r="I648"/>
      <c r="J648"/>
      <c r="K648"/>
      <c r="L648"/>
    </row>
    <row r="649" spans="1:12">
      <c r="A649"/>
      <c r="B649"/>
      <c r="C649"/>
      <c r="D649"/>
      <c r="E649"/>
      <c r="F649"/>
      <c r="G649"/>
      <c r="H649"/>
      <c r="I649"/>
      <c r="J649"/>
      <c r="K649"/>
      <c r="L649"/>
    </row>
    <row r="650" spans="1:12">
      <c r="A650"/>
      <c r="B650"/>
      <c r="C650"/>
      <c r="D650"/>
      <c r="E650"/>
      <c r="F650"/>
      <c r="G650"/>
      <c r="H650"/>
      <c r="I650"/>
      <c r="J650"/>
      <c r="K650"/>
      <c r="L650"/>
    </row>
    <row r="651" spans="1:12">
      <c r="A651"/>
      <c r="B651"/>
      <c r="C651"/>
      <c r="D651"/>
      <c r="E651"/>
      <c r="F651"/>
      <c r="G651"/>
      <c r="H651"/>
      <c r="I651"/>
      <c r="J651"/>
      <c r="K651"/>
      <c r="L651"/>
    </row>
    <row r="652" spans="1:12">
      <c r="A652"/>
      <c r="B652"/>
      <c r="C652"/>
      <c r="D652"/>
      <c r="E652"/>
      <c r="F652"/>
      <c r="G652"/>
      <c r="H652"/>
      <c r="I652"/>
      <c r="J652"/>
      <c r="K652"/>
      <c r="L652"/>
    </row>
    <row r="653" spans="1:12">
      <c r="A653"/>
      <c r="B653"/>
      <c r="C653"/>
      <c r="D653"/>
      <c r="E653"/>
      <c r="F653"/>
      <c r="G653"/>
      <c r="H653"/>
      <c r="I653"/>
      <c r="J653"/>
      <c r="K653"/>
      <c r="L653"/>
    </row>
    <row r="654" spans="1:12">
      <c r="A654"/>
      <c r="B654"/>
      <c r="C654"/>
      <c r="D654"/>
      <c r="E654"/>
      <c r="F654"/>
      <c r="G654"/>
      <c r="H654"/>
      <c r="I654"/>
      <c r="J654"/>
      <c r="K654"/>
      <c r="L654"/>
    </row>
    <row r="655" spans="1:12">
      <c r="A655"/>
      <c r="B655"/>
      <c r="C655"/>
      <c r="D655"/>
      <c r="E655"/>
      <c r="F655"/>
      <c r="G655"/>
      <c r="H655"/>
      <c r="I655"/>
      <c r="J655"/>
      <c r="K655"/>
      <c r="L655"/>
    </row>
    <row r="656" spans="1:12">
      <c r="A656"/>
      <c r="B656"/>
      <c r="C656"/>
      <c r="D656"/>
      <c r="E656"/>
      <c r="F656"/>
      <c r="G656"/>
      <c r="H656"/>
      <c r="I656"/>
      <c r="J656"/>
      <c r="K656"/>
      <c r="L656"/>
    </row>
    <row r="657" spans="1:12">
      <c r="A657"/>
      <c r="B657"/>
      <c r="C657"/>
      <c r="D657"/>
      <c r="E657"/>
      <c r="F657"/>
      <c r="G657"/>
      <c r="H657"/>
      <c r="I657"/>
      <c r="J657"/>
      <c r="K657"/>
      <c r="L657"/>
    </row>
    <row r="658" spans="1:12">
      <c r="A658"/>
      <c r="B658"/>
      <c r="C658"/>
      <c r="D658"/>
      <c r="E658"/>
      <c r="F658"/>
      <c r="G658"/>
      <c r="H658"/>
      <c r="I658"/>
      <c r="J658"/>
      <c r="K658"/>
      <c r="L658"/>
    </row>
    <row r="659" spans="1:12">
      <c r="A659"/>
      <c r="B659"/>
      <c r="C659"/>
      <c r="D659"/>
      <c r="E659"/>
      <c r="F659"/>
      <c r="G659"/>
      <c r="H659"/>
      <c r="I659"/>
      <c r="J659"/>
      <c r="K659"/>
      <c r="L659"/>
    </row>
    <row r="660" spans="1:12">
      <c r="A660"/>
      <c r="B660"/>
      <c r="C660"/>
      <c r="D660"/>
      <c r="E660"/>
      <c r="F660"/>
      <c r="G660"/>
      <c r="H660"/>
      <c r="I660"/>
      <c r="J660"/>
      <c r="K660"/>
      <c r="L660"/>
    </row>
    <row r="661" spans="1:12">
      <c r="A661"/>
      <c r="B661"/>
      <c r="C661"/>
      <c r="D661"/>
      <c r="E661"/>
      <c r="F661"/>
      <c r="G661"/>
      <c r="H661"/>
      <c r="I661"/>
      <c r="J661"/>
      <c r="K661"/>
      <c r="L661"/>
    </row>
    <row r="662" spans="1:12">
      <c r="A662"/>
      <c r="B662"/>
      <c r="C662"/>
      <c r="D662"/>
      <c r="E662"/>
      <c r="F662"/>
      <c r="G662"/>
      <c r="H662"/>
      <c r="I662"/>
      <c r="J662"/>
      <c r="K662"/>
      <c r="L662"/>
    </row>
    <row r="663" spans="1:12">
      <c r="A663"/>
      <c r="B663"/>
      <c r="C663"/>
      <c r="D663"/>
      <c r="E663"/>
      <c r="F663"/>
      <c r="G663"/>
      <c r="H663"/>
      <c r="I663"/>
      <c r="J663"/>
      <c r="K663"/>
      <c r="L663"/>
    </row>
    <row r="664" spans="1:12">
      <c r="A664"/>
      <c r="B664"/>
      <c r="C664"/>
      <c r="D664"/>
      <c r="E664"/>
      <c r="F664"/>
      <c r="G664"/>
      <c r="H664"/>
      <c r="I664"/>
      <c r="J664"/>
      <c r="K664"/>
      <c r="L664"/>
    </row>
    <row r="665" spans="1:12">
      <c r="A665"/>
      <c r="B665"/>
      <c r="C665"/>
      <c r="D665"/>
      <c r="E665"/>
      <c r="F665"/>
      <c r="G665"/>
      <c r="H665"/>
      <c r="I665"/>
      <c r="J665"/>
      <c r="K665"/>
      <c r="L665"/>
    </row>
    <row r="666" spans="1:12">
      <c r="A666"/>
      <c r="B666"/>
      <c r="C666"/>
      <c r="D666"/>
      <c r="E666"/>
      <c r="F666"/>
      <c r="G666"/>
      <c r="H666"/>
      <c r="I666"/>
      <c r="J666"/>
      <c r="K666"/>
      <c r="L666"/>
    </row>
    <row r="667" spans="1:12">
      <c r="A667"/>
      <c r="B667"/>
      <c r="C667"/>
      <c r="D667"/>
      <c r="E667"/>
      <c r="F667"/>
      <c r="G667"/>
      <c r="H667"/>
      <c r="I667"/>
      <c r="J667"/>
      <c r="K667"/>
      <c r="L667"/>
    </row>
    <row r="668" spans="1:12">
      <c r="A668"/>
      <c r="B668"/>
      <c r="C668"/>
      <c r="D668"/>
      <c r="E668"/>
      <c r="F668"/>
      <c r="G668"/>
      <c r="H668"/>
      <c r="I668"/>
      <c r="J668"/>
      <c r="K668"/>
      <c r="L668"/>
    </row>
    <row r="669" spans="1:12">
      <c r="A669"/>
      <c r="B669"/>
      <c r="C669"/>
      <c r="D669"/>
      <c r="E669"/>
      <c r="F669"/>
      <c r="G669"/>
      <c r="H669"/>
      <c r="I669"/>
      <c r="J669"/>
      <c r="K669"/>
      <c r="L669"/>
    </row>
    <row r="670" spans="1:12">
      <c r="A670"/>
      <c r="B670"/>
      <c r="C670"/>
      <c r="D670"/>
      <c r="E670"/>
      <c r="F670"/>
      <c r="G670"/>
      <c r="H670"/>
      <c r="I670"/>
      <c r="J670"/>
      <c r="K670"/>
      <c r="L670"/>
    </row>
    <row r="671" spans="1:12">
      <c r="A671"/>
      <c r="B671"/>
      <c r="C671"/>
      <c r="D671"/>
      <c r="E671"/>
      <c r="F671"/>
      <c r="G671"/>
      <c r="H671"/>
      <c r="I671"/>
      <c r="J671"/>
      <c r="K671"/>
      <c r="L671"/>
    </row>
    <row r="672" spans="1:12">
      <c r="A672"/>
      <c r="B672"/>
      <c r="C672"/>
      <c r="D672"/>
      <c r="E672"/>
      <c r="F672"/>
      <c r="G672"/>
      <c r="H672"/>
      <c r="I672"/>
      <c r="J672"/>
      <c r="K672"/>
      <c r="L672"/>
    </row>
    <row r="673" spans="1:12">
      <c r="A673"/>
      <c r="B673"/>
      <c r="C673"/>
      <c r="D673"/>
      <c r="E673"/>
      <c r="F673"/>
      <c r="G673"/>
      <c r="H673"/>
      <c r="I673"/>
      <c r="J673"/>
      <c r="K673"/>
      <c r="L673"/>
    </row>
    <row r="674" spans="1:12">
      <c r="A674"/>
      <c r="B674"/>
      <c r="C674"/>
      <c r="D674"/>
      <c r="E674"/>
      <c r="F674"/>
      <c r="G674"/>
      <c r="H674"/>
      <c r="I674"/>
      <c r="J674"/>
      <c r="K674"/>
      <c r="L674"/>
    </row>
    <row r="675" spans="1:12">
      <c r="A675"/>
      <c r="B675"/>
      <c r="C675"/>
      <c r="D675"/>
      <c r="E675"/>
      <c r="F675"/>
      <c r="G675"/>
      <c r="H675"/>
      <c r="I675"/>
      <c r="J675"/>
      <c r="K675"/>
      <c r="L675"/>
    </row>
    <row r="676" spans="1:12">
      <c r="A676"/>
      <c r="B676"/>
      <c r="C676"/>
      <c r="D676"/>
      <c r="E676"/>
      <c r="F676"/>
      <c r="G676"/>
      <c r="H676"/>
      <c r="I676"/>
      <c r="J676"/>
      <c r="K676"/>
      <c r="L676"/>
    </row>
    <row r="677" spans="1:12">
      <c r="A677"/>
      <c r="B677"/>
      <c r="C677"/>
      <c r="D677"/>
      <c r="E677"/>
      <c r="F677"/>
      <c r="G677"/>
      <c r="H677"/>
      <c r="I677"/>
      <c r="J677"/>
      <c r="K677"/>
      <c r="L677"/>
    </row>
    <row r="678" spans="1:12">
      <c r="A678"/>
      <c r="B678"/>
      <c r="C678"/>
      <c r="D678"/>
      <c r="E678"/>
      <c r="F678"/>
      <c r="G678"/>
      <c r="H678"/>
      <c r="I678"/>
      <c r="J678"/>
      <c r="K678"/>
      <c r="L678"/>
    </row>
    <row r="679" spans="1:12">
      <c r="A679"/>
      <c r="B679"/>
      <c r="C679"/>
      <c r="D679"/>
      <c r="E679"/>
      <c r="F679"/>
      <c r="G679"/>
      <c r="H679"/>
      <c r="I679"/>
      <c r="J679"/>
      <c r="K679"/>
      <c r="L679"/>
    </row>
    <row r="680" spans="1:12">
      <c r="A680"/>
      <c r="B680"/>
      <c r="C680"/>
      <c r="D680"/>
      <c r="E680"/>
      <c r="F680"/>
      <c r="G680"/>
      <c r="H680"/>
      <c r="I680"/>
      <c r="J680"/>
      <c r="K680"/>
      <c r="L680"/>
    </row>
    <row r="681" spans="1:12">
      <c r="A681"/>
      <c r="B681"/>
      <c r="C681"/>
      <c r="D681"/>
      <c r="E681"/>
      <c r="F681"/>
      <c r="G681"/>
      <c r="H681"/>
      <c r="I681"/>
      <c r="J681"/>
      <c r="K681"/>
      <c r="L681"/>
    </row>
    <row r="682" spans="1:12">
      <c r="A682"/>
      <c r="B682"/>
      <c r="C682"/>
      <c r="D682"/>
      <c r="E682"/>
      <c r="F682"/>
      <c r="G682"/>
      <c r="H682"/>
      <c r="I682"/>
      <c r="J682"/>
      <c r="K682"/>
      <c r="L682"/>
    </row>
    <row r="683" spans="1:12">
      <c r="A683"/>
      <c r="B683"/>
      <c r="C683"/>
      <c r="D683"/>
      <c r="E683"/>
      <c r="F683"/>
      <c r="G683"/>
      <c r="H683"/>
      <c r="I683"/>
      <c r="J683"/>
      <c r="K683"/>
      <c r="L683"/>
    </row>
    <row r="684" spans="1:12">
      <c r="A684"/>
      <c r="B684"/>
      <c r="C684"/>
      <c r="D684"/>
      <c r="E684"/>
      <c r="F684"/>
      <c r="G684"/>
      <c r="H684"/>
      <c r="I684"/>
      <c r="J684"/>
      <c r="K684"/>
      <c r="L684"/>
    </row>
    <row r="685" spans="1:12">
      <c r="A685"/>
      <c r="B685"/>
      <c r="C685"/>
      <c r="D685"/>
      <c r="E685"/>
      <c r="F685"/>
      <c r="G685"/>
      <c r="H685"/>
      <c r="I685"/>
      <c r="J685"/>
      <c r="K685"/>
      <c r="L685"/>
    </row>
    <row r="686" spans="1:12">
      <c r="A686"/>
      <c r="B686"/>
      <c r="C686"/>
      <c r="D686"/>
      <c r="E686"/>
      <c r="F686"/>
      <c r="G686"/>
      <c r="H686"/>
      <c r="I686"/>
      <c r="J686"/>
      <c r="K686"/>
      <c r="L686"/>
    </row>
    <row r="687" spans="1:12">
      <c r="A687"/>
      <c r="B687"/>
      <c r="C687"/>
      <c r="D687"/>
      <c r="E687"/>
      <c r="F687"/>
      <c r="G687"/>
      <c r="H687"/>
      <c r="I687"/>
      <c r="J687"/>
      <c r="K687"/>
      <c r="L687"/>
    </row>
    <row r="688" spans="1:12">
      <c r="A688"/>
      <c r="B688"/>
      <c r="C688"/>
      <c r="D688"/>
      <c r="E688"/>
      <c r="F688"/>
      <c r="G688"/>
      <c r="H688"/>
      <c r="I688"/>
      <c r="J688"/>
      <c r="K688"/>
      <c r="L688"/>
    </row>
    <row r="689" spans="1:12">
      <c r="A689"/>
      <c r="B689"/>
      <c r="C689"/>
      <c r="D689"/>
      <c r="E689"/>
      <c r="F689"/>
      <c r="G689"/>
      <c r="H689"/>
      <c r="I689"/>
      <c r="J689"/>
      <c r="K689"/>
      <c r="L689"/>
    </row>
    <row r="690" spans="1:12">
      <c r="A690"/>
      <c r="B690"/>
      <c r="C690"/>
      <c r="D690"/>
      <c r="E690"/>
      <c r="F690"/>
      <c r="G690"/>
      <c r="H690"/>
      <c r="I690"/>
      <c r="J690"/>
      <c r="K690"/>
      <c r="L690"/>
    </row>
    <row r="691" spans="1:12">
      <c r="A691"/>
      <c r="B691"/>
      <c r="C691"/>
      <c r="D691"/>
      <c r="E691"/>
      <c r="F691"/>
      <c r="G691"/>
      <c r="H691"/>
      <c r="I691"/>
      <c r="J691"/>
      <c r="K691"/>
      <c r="L691"/>
    </row>
    <row r="692" spans="1:12">
      <c r="A692"/>
      <c r="B692"/>
      <c r="C692"/>
      <c r="D692"/>
      <c r="E692"/>
      <c r="F692"/>
      <c r="G692"/>
      <c r="H692"/>
      <c r="I692"/>
      <c r="J692"/>
      <c r="K692"/>
      <c r="L692"/>
    </row>
    <row r="693" spans="1:12">
      <c r="A693"/>
      <c r="B693"/>
      <c r="C693"/>
      <c r="D693"/>
      <c r="E693"/>
      <c r="F693"/>
      <c r="G693"/>
      <c r="H693"/>
      <c r="I693"/>
      <c r="J693"/>
      <c r="K693"/>
      <c r="L693"/>
    </row>
    <row r="694" spans="1:12">
      <c r="A694"/>
      <c r="B694"/>
      <c r="C694"/>
      <c r="D694"/>
      <c r="E694"/>
      <c r="F694"/>
      <c r="G694"/>
      <c r="H694"/>
      <c r="I694"/>
      <c r="J694"/>
      <c r="K694"/>
      <c r="L694"/>
    </row>
    <row r="695" spans="1:12">
      <c r="A695"/>
      <c r="B695"/>
      <c r="C695"/>
      <c r="D695"/>
      <c r="E695"/>
      <c r="F695"/>
      <c r="G695"/>
      <c r="H695"/>
      <c r="I695"/>
      <c r="J695"/>
      <c r="K695"/>
      <c r="L695"/>
    </row>
    <row r="696" spans="1:12">
      <c r="A696"/>
      <c r="B696"/>
      <c r="C696"/>
      <c r="D696"/>
      <c r="E696"/>
      <c r="F696"/>
      <c r="G696"/>
      <c r="H696"/>
      <c r="I696"/>
      <c r="J696"/>
      <c r="K696"/>
      <c r="L696"/>
    </row>
    <row r="697" spans="1:12">
      <c r="A697"/>
      <c r="B697"/>
      <c r="C697"/>
      <c r="D697"/>
      <c r="E697"/>
      <c r="F697"/>
      <c r="G697"/>
      <c r="H697"/>
      <c r="I697"/>
      <c r="J697"/>
      <c r="K697"/>
      <c r="L697"/>
    </row>
    <row r="698" spans="1:12">
      <c r="A698"/>
      <c r="B698"/>
      <c r="C698"/>
      <c r="D698"/>
      <c r="E698"/>
      <c r="F698"/>
      <c r="G698"/>
      <c r="H698"/>
      <c r="I698"/>
      <c r="J698"/>
      <c r="K698"/>
      <c r="L698"/>
    </row>
    <row r="699" spans="1:12">
      <c r="A699"/>
      <c r="B699"/>
      <c r="C699"/>
      <c r="D699"/>
      <c r="E699"/>
      <c r="F699"/>
      <c r="G699"/>
      <c r="H699"/>
      <c r="I699"/>
      <c r="J699"/>
      <c r="K699"/>
      <c r="L699"/>
    </row>
    <row r="700" spans="1:12">
      <c r="A700"/>
      <c r="B700"/>
      <c r="C700"/>
      <c r="D700"/>
      <c r="E700"/>
      <c r="F700"/>
      <c r="G700"/>
      <c r="H700"/>
      <c r="I700"/>
      <c r="J700"/>
      <c r="K700"/>
      <c r="L700"/>
    </row>
    <row r="701" spans="1:12">
      <c r="A701"/>
      <c r="B701"/>
      <c r="C701"/>
      <c r="D701"/>
      <c r="E701"/>
      <c r="F701"/>
      <c r="G701"/>
      <c r="H701"/>
      <c r="I701"/>
      <c r="J701"/>
      <c r="K701"/>
      <c r="L701"/>
    </row>
    <row r="702" spans="1:12">
      <c r="A702"/>
      <c r="B702"/>
      <c r="C702"/>
      <c r="D702"/>
      <c r="E702"/>
      <c r="F702"/>
      <c r="G702"/>
      <c r="H702"/>
      <c r="I702"/>
      <c r="J702"/>
      <c r="K702"/>
      <c r="L702"/>
    </row>
    <row r="703" spans="1:12">
      <c r="A703"/>
      <c r="B703"/>
      <c r="C703"/>
      <c r="D703"/>
      <c r="E703"/>
      <c r="F703"/>
      <c r="G703"/>
      <c r="H703"/>
      <c r="I703"/>
      <c r="J703"/>
      <c r="K703"/>
      <c r="L703"/>
    </row>
    <row r="704" spans="1:12">
      <c r="A704"/>
      <c r="B704"/>
      <c r="C704"/>
      <c r="D704"/>
      <c r="E704"/>
      <c r="F704"/>
      <c r="G704"/>
      <c r="H704"/>
      <c r="I704"/>
      <c r="J704"/>
      <c r="K704"/>
      <c r="L704"/>
    </row>
    <row r="705" spans="1:12">
      <c r="A705"/>
      <c r="B705"/>
      <c r="C705"/>
      <c r="D705"/>
      <c r="E705"/>
      <c r="F705"/>
      <c r="G705"/>
      <c r="H705"/>
      <c r="I705"/>
      <c r="J705"/>
      <c r="K705"/>
      <c r="L705"/>
    </row>
    <row r="706" spans="1:12">
      <c r="A706"/>
      <c r="B706"/>
      <c r="C706"/>
      <c r="D706"/>
      <c r="E706"/>
      <c r="F706"/>
      <c r="G706"/>
      <c r="H706"/>
      <c r="I706"/>
      <c r="J706"/>
      <c r="K706"/>
      <c r="L706"/>
    </row>
    <row r="707" spans="1:12">
      <c r="A707"/>
      <c r="B707"/>
      <c r="C707"/>
      <c r="D707"/>
      <c r="E707"/>
      <c r="F707"/>
      <c r="G707"/>
      <c r="H707"/>
      <c r="I707"/>
      <c r="J707"/>
      <c r="K707"/>
      <c r="L707"/>
    </row>
    <row r="708" spans="1:12">
      <c r="A708"/>
      <c r="B708"/>
      <c r="C708"/>
      <c r="D708"/>
      <c r="E708"/>
      <c r="F708"/>
      <c r="G708"/>
      <c r="H708"/>
      <c r="I708"/>
      <c r="J708"/>
      <c r="K708"/>
      <c r="L708"/>
    </row>
    <row r="709" spans="1:12">
      <c r="A709"/>
      <c r="B709"/>
      <c r="C709"/>
      <c r="D709"/>
      <c r="E709"/>
      <c r="F709"/>
      <c r="G709"/>
      <c r="H709"/>
      <c r="I709"/>
      <c r="J709"/>
      <c r="K709"/>
      <c r="L709"/>
    </row>
    <row r="710" spans="1:12">
      <c r="A710"/>
      <c r="B710"/>
      <c r="C710"/>
      <c r="D710"/>
      <c r="E710"/>
      <c r="F710"/>
      <c r="G710"/>
      <c r="H710"/>
      <c r="I710"/>
      <c r="J710"/>
      <c r="K710"/>
      <c r="L710"/>
    </row>
    <row r="711" spans="1:12">
      <c r="A711"/>
      <c r="B711"/>
      <c r="C711"/>
      <c r="D711"/>
      <c r="E711"/>
      <c r="F711"/>
      <c r="G711"/>
      <c r="H711"/>
      <c r="I711"/>
      <c r="J711"/>
      <c r="K711"/>
      <c r="L711"/>
    </row>
    <row r="712" spans="1:12">
      <c r="A712"/>
      <c r="B712"/>
      <c r="C712"/>
      <c r="D712"/>
      <c r="E712"/>
      <c r="F712"/>
      <c r="G712"/>
      <c r="H712"/>
      <c r="I712"/>
      <c r="J712"/>
      <c r="K712"/>
      <c r="L712"/>
    </row>
    <row r="713" spans="1:12">
      <c r="A713"/>
      <c r="B713"/>
      <c r="C713"/>
      <c r="D713"/>
      <c r="E713"/>
      <c r="F713"/>
      <c r="G713"/>
      <c r="H713"/>
      <c r="I713"/>
      <c r="J713"/>
      <c r="K713"/>
      <c r="L713"/>
    </row>
    <row r="714" spans="1:12">
      <c r="A714"/>
      <c r="B714"/>
      <c r="C714"/>
      <c r="D714"/>
      <c r="E714"/>
      <c r="F714"/>
      <c r="G714"/>
      <c r="H714"/>
      <c r="I714"/>
      <c r="J714"/>
      <c r="K714"/>
      <c r="L714"/>
    </row>
    <row r="715" spans="1:12">
      <c r="A715"/>
      <c r="B715"/>
      <c r="C715"/>
      <c r="D715"/>
      <c r="E715"/>
      <c r="F715"/>
      <c r="G715"/>
      <c r="H715"/>
      <c r="I715"/>
      <c r="J715"/>
      <c r="K715"/>
      <c r="L715"/>
    </row>
    <row r="716" spans="1:12">
      <c r="A716"/>
      <c r="B716"/>
      <c r="C716"/>
      <c r="D716"/>
      <c r="E716"/>
      <c r="F716"/>
      <c r="G716"/>
      <c r="H716"/>
      <c r="I716"/>
      <c r="J716"/>
      <c r="K716"/>
      <c r="L716"/>
    </row>
    <row r="717" spans="1:12">
      <c r="A717"/>
      <c r="B717"/>
      <c r="C717"/>
      <c r="D717"/>
      <c r="E717"/>
      <c r="F717"/>
      <c r="G717"/>
      <c r="H717"/>
      <c r="I717"/>
      <c r="J717"/>
      <c r="K717"/>
      <c r="L717"/>
    </row>
    <row r="718" spans="1:12">
      <c r="A718"/>
      <c r="B718"/>
      <c r="C718"/>
      <c r="D718"/>
      <c r="E718"/>
      <c r="F718"/>
      <c r="G718"/>
      <c r="H718"/>
      <c r="I718"/>
      <c r="J718"/>
      <c r="K718"/>
      <c r="L718"/>
    </row>
    <row r="719" spans="1:12">
      <c r="A719"/>
      <c r="B719"/>
      <c r="C719"/>
      <c r="D719"/>
      <c r="E719"/>
      <c r="F719"/>
      <c r="G719"/>
      <c r="H719"/>
      <c r="I719"/>
      <c r="J719"/>
      <c r="K719"/>
      <c r="L719"/>
    </row>
    <row r="720" spans="1:12">
      <c r="A720"/>
      <c r="B720"/>
      <c r="C720"/>
      <c r="D720"/>
      <c r="E720"/>
      <c r="F720"/>
      <c r="G720"/>
      <c r="H720"/>
      <c r="I720"/>
      <c r="J720"/>
      <c r="K720"/>
      <c r="L720"/>
    </row>
    <row r="721" spans="1:12">
      <c r="A721"/>
      <c r="B721"/>
      <c r="C721"/>
      <c r="D721"/>
      <c r="E721"/>
      <c r="F721"/>
      <c r="G721"/>
      <c r="H721"/>
      <c r="I721"/>
      <c r="J721"/>
      <c r="K721"/>
      <c r="L721"/>
    </row>
    <row r="722" spans="1:12">
      <c r="A722"/>
      <c r="B722"/>
      <c r="C722"/>
      <c r="D722"/>
      <c r="E722"/>
      <c r="F722"/>
      <c r="G722"/>
      <c r="H722"/>
      <c r="I722"/>
      <c r="J722"/>
      <c r="K722"/>
      <c r="L722"/>
    </row>
    <row r="723" spans="1:12">
      <c r="A723"/>
      <c r="B723"/>
      <c r="C723"/>
      <c r="D723"/>
      <c r="E723"/>
      <c r="F723"/>
      <c r="G723"/>
      <c r="H723"/>
      <c r="I723"/>
      <c r="J723"/>
      <c r="K723"/>
      <c r="L723"/>
    </row>
    <row r="724" spans="1:12">
      <c r="A724"/>
      <c r="B724"/>
      <c r="C724"/>
      <c r="D724"/>
      <c r="E724"/>
      <c r="F724"/>
      <c r="G724"/>
      <c r="H724"/>
      <c r="I724"/>
      <c r="J724"/>
      <c r="K724"/>
      <c r="L724"/>
    </row>
    <row r="725" spans="1:12">
      <c r="A725"/>
      <c r="B725"/>
      <c r="C725"/>
      <c r="D725"/>
      <c r="E725"/>
      <c r="F725"/>
      <c r="G725"/>
      <c r="H725"/>
      <c r="I725"/>
      <c r="J725"/>
      <c r="K725"/>
      <c r="L725"/>
    </row>
    <row r="726" spans="1:12">
      <c r="A726"/>
      <c r="B726"/>
      <c r="C726"/>
      <c r="D726"/>
      <c r="E726"/>
      <c r="F726"/>
      <c r="G726"/>
      <c r="H726"/>
      <c r="I726"/>
      <c r="J726"/>
      <c r="K726"/>
      <c r="L726"/>
    </row>
    <row r="727" spans="1:12">
      <c r="A727"/>
      <c r="B727"/>
      <c r="C727"/>
      <c r="D727"/>
      <c r="E727"/>
      <c r="F727"/>
      <c r="G727"/>
      <c r="H727"/>
      <c r="I727"/>
      <c r="J727"/>
      <c r="K727"/>
      <c r="L727"/>
    </row>
    <row r="728" spans="1:12">
      <c r="A728"/>
      <c r="B728"/>
      <c r="C728"/>
      <c r="D728"/>
      <c r="E728"/>
      <c r="F728"/>
      <c r="G728"/>
      <c r="H728"/>
      <c r="I728"/>
      <c r="J728"/>
      <c r="K728"/>
      <c r="L728"/>
    </row>
    <row r="729" spans="1:12">
      <c r="A729"/>
      <c r="B729"/>
      <c r="C729"/>
      <c r="D729"/>
      <c r="E729"/>
      <c r="F729"/>
      <c r="G729"/>
      <c r="H729"/>
      <c r="I729"/>
      <c r="J729"/>
      <c r="K729"/>
      <c r="L729"/>
    </row>
    <row r="730" spans="1:12">
      <c r="A730"/>
      <c r="B730"/>
      <c r="C730"/>
      <c r="D730"/>
      <c r="E730"/>
      <c r="F730"/>
      <c r="G730"/>
      <c r="H730"/>
      <c r="I730"/>
      <c r="J730"/>
      <c r="K730"/>
      <c r="L730"/>
    </row>
    <row r="731" spans="1:12">
      <c r="A731"/>
      <c r="B731"/>
      <c r="C731"/>
      <c r="D731"/>
      <c r="E731"/>
      <c r="F731"/>
      <c r="G731"/>
      <c r="H731"/>
      <c r="I731"/>
      <c r="J731"/>
      <c r="K731"/>
      <c r="L731"/>
    </row>
    <row r="732" spans="1:12">
      <c r="A732"/>
      <c r="B732"/>
      <c r="C732"/>
      <c r="D732"/>
      <c r="E732"/>
      <c r="F732"/>
      <c r="G732"/>
      <c r="H732"/>
      <c r="I732"/>
      <c r="J732"/>
      <c r="K732"/>
      <c r="L732"/>
    </row>
    <row r="733" spans="1:12">
      <c r="A733"/>
      <c r="B733"/>
      <c r="C733"/>
      <c r="D733"/>
      <c r="E733"/>
      <c r="F733"/>
      <c r="G733"/>
      <c r="H733"/>
      <c r="I733"/>
      <c r="J733"/>
      <c r="K733"/>
      <c r="L733"/>
    </row>
    <row r="734" spans="1:12">
      <c r="A734"/>
      <c r="B734"/>
      <c r="C734"/>
      <c r="D734"/>
      <c r="E734"/>
      <c r="F734"/>
      <c r="G734"/>
      <c r="H734"/>
      <c r="I734"/>
      <c r="J734"/>
      <c r="K734"/>
      <c r="L734"/>
    </row>
    <row r="735" spans="1:12">
      <c r="A735"/>
      <c r="B735"/>
      <c r="C735"/>
      <c r="D735"/>
      <c r="E735"/>
      <c r="F735"/>
      <c r="G735"/>
      <c r="H735"/>
      <c r="I735"/>
      <c r="J735"/>
      <c r="K735"/>
      <c r="L735"/>
    </row>
    <row r="736" spans="1:12">
      <c r="A736"/>
      <c r="B736"/>
      <c r="C736"/>
      <c r="D736"/>
      <c r="E736"/>
      <c r="F736"/>
      <c r="G736"/>
      <c r="H736"/>
      <c r="I736"/>
      <c r="J736"/>
      <c r="K736"/>
      <c r="L736"/>
    </row>
    <row r="737" spans="1:12">
      <c r="A737"/>
      <c r="B737"/>
      <c r="C737"/>
      <c r="D737"/>
      <c r="E737"/>
      <c r="F737"/>
      <c r="G737"/>
      <c r="H737"/>
      <c r="I737"/>
      <c r="J737"/>
      <c r="K737"/>
      <c r="L737"/>
    </row>
    <row r="738" spans="1:12">
      <c r="A738"/>
      <c r="B738"/>
      <c r="C738"/>
      <c r="D738"/>
      <c r="E738"/>
      <c r="F738"/>
      <c r="G738"/>
      <c r="H738"/>
      <c r="I738"/>
      <c r="J738"/>
      <c r="K738"/>
      <c r="L738"/>
    </row>
    <row r="739" spans="1:12">
      <c r="A739"/>
      <c r="B739"/>
      <c r="C739"/>
      <c r="D739"/>
      <c r="E739"/>
      <c r="F739"/>
      <c r="G739"/>
      <c r="H739"/>
      <c r="I739"/>
      <c r="J739"/>
      <c r="K739"/>
      <c r="L739"/>
    </row>
    <row r="740" spans="1:12">
      <c r="A740"/>
      <c r="B740"/>
      <c r="C740"/>
      <c r="D740"/>
      <c r="E740"/>
      <c r="F740"/>
      <c r="G740"/>
      <c r="H740"/>
      <c r="I740"/>
      <c r="J740"/>
      <c r="K740"/>
      <c r="L740"/>
    </row>
    <row r="741" spans="1:12">
      <c r="A741"/>
      <c r="B741"/>
      <c r="C741"/>
      <c r="D741"/>
      <c r="E741"/>
      <c r="F741"/>
      <c r="G741"/>
      <c r="H741"/>
      <c r="I741"/>
      <c r="J741"/>
      <c r="K741"/>
      <c r="L741"/>
    </row>
    <row r="742" spans="1:12">
      <c r="A742"/>
      <c r="B742"/>
      <c r="C742"/>
      <c r="D742"/>
      <c r="E742"/>
      <c r="F742"/>
      <c r="G742"/>
      <c r="H742"/>
      <c r="I742"/>
      <c r="J742"/>
      <c r="K742"/>
      <c r="L742"/>
    </row>
    <row r="743" spans="1:12">
      <c r="A743"/>
      <c r="B743"/>
      <c r="C743"/>
      <c r="D743"/>
      <c r="E743"/>
      <c r="F743"/>
      <c r="G743"/>
      <c r="H743"/>
      <c r="I743"/>
      <c r="J743"/>
      <c r="K743"/>
      <c r="L743"/>
    </row>
    <row r="744" spans="1:12">
      <c r="A744"/>
      <c r="B744"/>
      <c r="C744"/>
      <c r="D744"/>
      <c r="E744"/>
      <c r="F744"/>
      <c r="G744"/>
      <c r="H744"/>
      <c r="I744"/>
      <c r="J744"/>
      <c r="K744"/>
      <c r="L744"/>
    </row>
    <row r="745" spans="1:12">
      <c r="A745"/>
      <c r="B745"/>
      <c r="C745"/>
      <c r="D745"/>
      <c r="E745"/>
      <c r="F745"/>
      <c r="G745"/>
      <c r="H745"/>
      <c r="I745"/>
      <c r="J745"/>
      <c r="K745"/>
      <c r="L745"/>
    </row>
    <row r="746" spans="1:12">
      <c r="A746"/>
      <c r="B746"/>
      <c r="C746"/>
      <c r="D746"/>
      <c r="E746"/>
      <c r="F746"/>
      <c r="G746"/>
      <c r="H746"/>
      <c r="I746"/>
      <c r="J746"/>
      <c r="K746"/>
      <c r="L746"/>
    </row>
    <row r="747" spans="1:12">
      <c r="A747"/>
      <c r="B747"/>
      <c r="C747"/>
      <c r="D747"/>
      <c r="E747"/>
      <c r="F747"/>
      <c r="G747"/>
      <c r="H747"/>
      <c r="I747"/>
      <c r="J747"/>
      <c r="K747"/>
      <c r="L747"/>
    </row>
    <row r="748" spans="1:12">
      <c r="A748"/>
      <c r="B748"/>
      <c r="C748"/>
      <c r="D748"/>
      <c r="E748"/>
      <c r="F748"/>
      <c r="G748"/>
      <c r="H748"/>
      <c r="I748"/>
      <c r="J748"/>
      <c r="K748"/>
      <c r="L748"/>
    </row>
    <row r="749" spans="1:12">
      <c r="A749"/>
      <c r="B749"/>
      <c r="C749"/>
      <c r="D749"/>
      <c r="E749"/>
      <c r="F749"/>
      <c r="G749"/>
      <c r="H749"/>
      <c r="I749"/>
      <c r="J749"/>
      <c r="K749"/>
      <c r="L749"/>
    </row>
    <row r="750" spans="1:12">
      <c r="A750"/>
      <c r="B750"/>
      <c r="C750"/>
      <c r="D750"/>
      <c r="E750"/>
      <c r="F750"/>
      <c r="G750"/>
      <c r="H750"/>
      <c r="I750"/>
      <c r="J750"/>
      <c r="K750"/>
      <c r="L750"/>
    </row>
    <row r="751" spans="1:12">
      <c r="A751"/>
      <c r="B751"/>
      <c r="C751"/>
      <c r="D751"/>
      <c r="E751"/>
      <c r="F751"/>
      <c r="G751"/>
      <c r="H751"/>
      <c r="I751"/>
      <c r="J751"/>
      <c r="K751"/>
      <c r="L751"/>
    </row>
    <row r="752" spans="1:12">
      <c r="A752"/>
      <c r="B752"/>
      <c r="C752"/>
      <c r="D752"/>
      <c r="E752"/>
      <c r="F752"/>
      <c r="G752"/>
      <c r="H752"/>
      <c r="I752"/>
      <c r="J752"/>
      <c r="K752"/>
      <c r="L752"/>
    </row>
    <row r="753" spans="1:12">
      <c r="A753"/>
      <c r="B753"/>
      <c r="C753"/>
      <c r="D753"/>
      <c r="E753"/>
      <c r="F753"/>
      <c r="G753"/>
      <c r="H753"/>
      <c r="I753"/>
      <c r="J753"/>
      <c r="K753"/>
      <c r="L753"/>
    </row>
    <row r="754" spans="1:12">
      <c r="A754"/>
      <c r="B754"/>
      <c r="C754"/>
      <c r="D754"/>
      <c r="E754"/>
      <c r="F754"/>
      <c r="G754"/>
      <c r="H754"/>
      <c r="I754"/>
      <c r="J754"/>
      <c r="K754"/>
      <c r="L754"/>
    </row>
    <row r="755" spans="1:12">
      <c r="A755"/>
      <c r="B755"/>
      <c r="C755"/>
      <c r="D755"/>
      <c r="E755"/>
      <c r="F755"/>
      <c r="G755"/>
      <c r="H755"/>
      <c r="I755"/>
      <c r="J755"/>
      <c r="K755"/>
      <c r="L755"/>
    </row>
    <row r="756" spans="1:12">
      <c r="A756"/>
      <c r="B756"/>
      <c r="C756"/>
      <c r="D756"/>
      <c r="E756"/>
      <c r="F756"/>
      <c r="G756"/>
      <c r="H756"/>
      <c r="I756"/>
      <c r="J756"/>
      <c r="K756"/>
      <c r="L756"/>
    </row>
    <row r="757" spans="1:12">
      <c r="A757"/>
      <c r="B757"/>
      <c r="C757"/>
      <c r="D757"/>
      <c r="E757"/>
      <c r="F757"/>
      <c r="G757"/>
      <c r="H757"/>
      <c r="I757"/>
      <c r="J757"/>
      <c r="K757"/>
      <c r="L757"/>
    </row>
    <row r="758" spans="1:12">
      <c r="A758"/>
      <c r="B758"/>
      <c r="C758"/>
      <c r="D758"/>
      <c r="E758"/>
      <c r="F758"/>
      <c r="G758"/>
      <c r="H758"/>
      <c r="I758"/>
      <c r="J758"/>
      <c r="K758"/>
      <c r="L758"/>
    </row>
    <row r="759" spans="1:12">
      <c r="A759"/>
      <c r="B759"/>
      <c r="C759"/>
      <c r="D759"/>
      <c r="E759"/>
      <c r="F759"/>
      <c r="G759"/>
      <c r="H759"/>
      <c r="I759"/>
      <c r="J759"/>
      <c r="K759"/>
      <c r="L759"/>
    </row>
    <row r="760" spans="1:12">
      <c r="A760"/>
      <c r="B760"/>
      <c r="C760"/>
      <c r="D760"/>
      <c r="E760"/>
      <c r="F760"/>
      <c r="G760"/>
      <c r="H760"/>
      <c r="I760"/>
      <c r="J760"/>
      <c r="K760"/>
      <c r="L760"/>
    </row>
    <row r="761" spans="1:12">
      <c r="A761"/>
      <c r="B761"/>
      <c r="C761"/>
      <c r="D761"/>
      <c r="E761"/>
      <c r="F761"/>
      <c r="G761"/>
      <c r="H761"/>
      <c r="I761"/>
      <c r="J761"/>
      <c r="K761"/>
      <c r="L761"/>
    </row>
    <row r="762" spans="1:12">
      <c r="A762"/>
      <c r="B762"/>
      <c r="C762"/>
      <c r="D762"/>
      <c r="E762"/>
      <c r="F762"/>
      <c r="G762"/>
      <c r="H762"/>
      <c r="I762"/>
      <c r="J762"/>
      <c r="K762"/>
      <c r="L762"/>
    </row>
    <row r="763" spans="1:12">
      <c r="A763"/>
      <c r="B763"/>
      <c r="C763"/>
      <c r="D763"/>
      <c r="E763"/>
      <c r="F763"/>
      <c r="G763"/>
      <c r="H763"/>
      <c r="I763"/>
      <c r="J763"/>
      <c r="K763"/>
      <c r="L763"/>
    </row>
    <row r="764" spans="1:12">
      <c r="A764"/>
      <c r="B764"/>
      <c r="C764"/>
      <c r="D764"/>
      <c r="E764"/>
      <c r="F764"/>
      <c r="G764"/>
      <c r="H764"/>
      <c r="I764"/>
      <c r="J764"/>
      <c r="K764"/>
      <c r="L764"/>
    </row>
    <row r="765" spans="1:12">
      <c r="A765"/>
      <c r="B765"/>
      <c r="C765"/>
      <c r="D765"/>
      <c r="E765"/>
      <c r="F765"/>
      <c r="G765"/>
      <c r="H765"/>
      <c r="I765"/>
      <c r="J765"/>
      <c r="K765"/>
      <c r="L765"/>
    </row>
    <row r="766" spans="1:12">
      <c r="A766"/>
      <c r="B766"/>
      <c r="C766"/>
      <c r="D766"/>
      <c r="E766"/>
      <c r="F766"/>
      <c r="G766"/>
      <c r="H766"/>
      <c r="I766"/>
      <c r="J766"/>
      <c r="K766"/>
      <c r="L766"/>
    </row>
    <row r="767" spans="1:12">
      <c r="A767"/>
      <c r="B767"/>
      <c r="C767"/>
      <c r="D767"/>
      <c r="E767"/>
      <c r="F767"/>
      <c r="G767"/>
      <c r="H767"/>
      <c r="I767"/>
      <c r="J767"/>
      <c r="K767"/>
      <c r="L767"/>
    </row>
    <row r="768" spans="1:12">
      <c r="A768"/>
      <c r="B768"/>
      <c r="C768"/>
      <c r="D768"/>
      <c r="E768"/>
      <c r="F768"/>
      <c r="G768"/>
      <c r="H768"/>
      <c r="I768"/>
      <c r="J768"/>
      <c r="K768"/>
      <c r="L768"/>
    </row>
    <row r="769" spans="1:12">
      <c r="A769"/>
      <c r="B769"/>
      <c r="C769"/>
      <c r="D769"/>
      <c r="E769"/>
      <c r="F769"/>
      <c r="G769"/>
      <c r="H769"/>
      <c r="I769"/>
      <c r="J769"/>
      <c r="K769"/>
      <c r="L769"/>
    </row>
    <row r="770" spans="1:12">
      <c r="A770"/>
      <c r="B770"/>
      <c r="C770"/>
      <c r="D770"/>
      <c r="E770"/>
      <c r="F770"/>
      <c r="G770"/>
      <c r="H770"/>
      <c r="I770"/>
      <c r="J770"/>
      <c r="K770"/>
      <c r="L770"/>
    </row>
    <row r="771" spans="1:12">
      <c r="A771"/>
      <c r="B771"/>
      <c r="C771"/>
      <c r="D771"/>
      <c r="E771"/>
      <c r="F771"/>
      <c r="G771"/>
      <c r="H771"/>
      <c r="I771"/>
      <c r="J771"/>
      <c r="K771"/>
      <c r="L771"/>
    </row>
    <row r="772" spans="1:12">
      <c r="A772"/>
      <c r="B772"/>
      <c r="C772"/>
      <c r="D772"/>
      <c r="E772"/>
      <c r="F772"/>
      <c r="G772"/>
      <c r="H772"/>
      <c r="I772"/>
      <c r="J772"/>
      <c r="K772"/>
      <c r="L772"/>
    </row>
    <row r="773" spans="1:12">
      <c r="A773"/>
      <c r="B773"/>
      <c r="C773"/>
      <c r="D773"/>
      <c r="E773"/>
      <c r="F773"/>
      <c r="G773"/>
      <c r="H773"/>
      <c r="I773"/>
      <c r="J773"/>
      <c r="K773"/>
      <c r="L773"/>
    </row>
    <row r="774" spans="1:12">
      <c r="A774"/>
      <c r="B774"/>
      <c r="C774"/>
      <c r="D774"/>
      <c r="E774"/>
      <c r="F774"/>
      <c r="G774"/>
      <c r="H774"/>
      <c r="I774"/>
      <c r="J774"/>
      <c r="K774"/>
      <c r="L774"/>
    </row>
    <row r="775" spans="1:12">
      <c r="A775"/>
      <c r="B775"/>
      <c r="C775"/>
      <c r="D775"/>
      <c r="E775"/>
      <c r="F775"/>
      <c r="G775"/>
      <c r="H775"/>
      <c r="I775"/>
      <c r="J775"/>
      <c r="K775"/>
      <c r="L775"/>
    </row>
    <row r="776" spans="1:12">
      <c r="A776"/>
      <c r="B776"/>
      <c r="C776"/>
      <c r="D776"/>
      <c r="E776"/>
      <c r="F776"/>
      <c r="G776"/>
      <c r="H776"/>
      <c r="I776"/>
      <c r="J776"/>
      <c r="K776"/>
      <c r="L776"/>
    </row>
    <row r="777" spans="1:12">
      <c r="A777"/>
      <c r="B777"/>
      <c r="C777"/>
      <c r="D777"/>
      <c r="E777"/>
      <c r="F777"/>
      <c r="G777"/>
      <c r="H777"/>
      <c r="I777"/>
      <c r="J777"/>
      <c r="K777"/>
      <c r="L777"/>
    </row>
    <row r="778" spans="1:12">
      <c r="A778"/>
      <c r="B778"/>
      <c r="C778"/>
      <c r="D778"/>
      <c r="E778"/>
      <c r="F778"/>
      <c r="G778"/>
      <c r="H778"/>
      <c r="I778"/>
      <c r="J778"/>
      <c r="K778"/>
      <c r="L778"/>
    </row>
    <row r="779" spans="1:12">
      <c r="A779"/>
      <c r="B779"/>
      <c r="C779"/>
      <c r="D779"/>
      <c r="E779"/>
      <c r="F779"/>
      <c r="G779"/>
      <c r="H779"/>
      <c r="I779"/>
      <c r="J779"/>
      <c r="K779"/>
      <c r="L779"/>
    </row>
    <row r="780" spans="1:12">
      <c r="A780"/>
      <c r="B780"/>
      <c r="C780"/>
      <c r="D780"/>
      <c r="E780"/>
      <c r="F780"/>
      <c r="G780"/>
      <c r="H780"/>
      <c r="I780"/>
      <c r="J780"/>
      <c r="K780"/>
      <c r="L780"/>
    </row>
    <row r="781" spans="1:12">
      <c r="A781"/>
      <c r="B781"/>
      <c r="C781"/>
      <c r="D781"/>
      <c r="E781"/>
      <c r="F781"/>
      <c r="G781"/>
      <c r="H781"/>
      <c r="I781"/>
      <c r="J781"/>
      <c r="K781"/>
      <c r="L781"/>
    </row>
    <row r="782" spans="1:12">
      <c r="A782"/>
      <c r="B782"/>
      <c r="C782"/>
      <c r="D782"/>
      <c r="E782"/>
      <c r="F782"/>
      <c r="G782"/>
      <c r="H782"/>
      <c r="I782"/>
      <c r="J782"/>
      <c r="K782"/>
      <c r="L782"/>
    </row>
    <row r="783" spans="1:12">
      <c r="A783"/>
      <c r="B783"/>
      <c r="C783"/>
      <c r="D783"/>
      <c r="E783"/>
      <c r="F783"/>
      <c r="G783"/>
      <c r="H783"/>
      <c r="I783"/>
      <c r="J783"/>
      <c r="K783"/>
      <c r="L783"/>
    </row>
    <row r="784" spans="1:12">
      <c r="A784"/>
      <c r="B784"/>
      <c r="C784"/>
      <c r="D784"/>
      <c r="E784"/>
      <c r="F784"/>
      <c r="G784"/>
      <c r="H784"/>
      <c r="I784"/>
      <c r="J784"/>
      <c r="K784"/>
      <c r="L784"/>
    </row>
    <row r="785" spans="1:12">
      <c r="A785"/>
      <c r="B785"/>
      <c r="C785"/>
      <c r="D785"/>
      <c r="E785"/>
      <c r="F785"/>
      <c r="G785"/>
      <c r="H785"/>
      <c r="I785"/>
      <c r="J785"/>
      <c r="K785"/>
      <c r="L785"/>
    </row>
    <row r="786" spans="1:12">
      <c r="A786"/>
      <c r="B786"/>
      <c r="C786"/>
      <c r="D786"/>
      <c r="E786"/>
      <c r="F786"/>
      <c r="G786"/>
      <c r="H786"/>
      <c r="I786"/>
      <c r="J786"/>
      <c r="K786"/>
      <c r="L786"/>
    </row>
    <row r="787" spans="1:12">
      <c r="A787"/>
      <c r="B787"/>
      <c r="C787"/>
      <c r="D787"/>
      <c r="E787"/>
      <c r="F787"/>
      <c r="G787"/>
      <c r="H787"/>
      <c r="I787"/>
      <c r="J787"/>
      <c r="K787"/>
      <c r="L787"/>
    </row>
    <row r="788" spans="1:12">
      <c r="A788"/>
      <c r="B788"/>
      <c r="C788"/>
      <c r="D788"/>
      <c r="E788"/>
      <c r="F788"/>
      <c r="G788"/>
      <c r="H788"/>
      <c r="I788"/>
      <c r="J788"/>
      <c r="K788"/>
      <c r="L788"/>
    </row>
    <row r="789" spans="1:12">
      <c r="A789"/>
      <c r="B789"/>
      <c r="C789"/>
      <c r="D789"/>
      <c r="E789"/>
      <c r="F789"/>
      <c r="G789"/>
      <c r="H789"/>
      <c r="I789"/>
      <c r="J789"/>
      <c r="K789"/>
      <c r="L789"/>
    </row>
    <row r="790" spans="1:12">
      <c r="A790"/>
      <c r="B790"/>
      <c r="C790"/>
      <c r="D790"/>
      <c r="E790"/>
      <c r="F790"/>
      <c r="G790"/>
      <c r="H790"/>
      <c r="I790"/>
      <c r="J790"/>
      <c r="K790"/>
      <c r="L790"/>
    </row>
    <row r="791" spans="1:12">
      <c r="A791"/>
      <c r="B791"/>
      <c r="C791"/>
      <c r="D791"/>
      <c r="E791"/>
      <c r="F791"/>
      <c r="G791"/>
      <c r="H791"/>
      <c r="I791"/>
      <c r="J791"/>
      <c r="K791"/>
      <c r="L791"/>
    </row>
    <row r="792" spans="1:12">
      <c r="A792"/>
      <c r="B792"/>
      <c r="C792"/>
      <c r="D792"/>
      <c r="E792"/>
      <c r="F792"/>
      <c r="G792"/>
      <c r="H792"/>
      <c r="I792"/>
      <c r="J792"/>
      <c r="K792"/>
      <c r="L792"/>
    </row>
    <row r="793" spans="1:12">
      <c r="A793"/>
      <c r="B793"/>
      <c r="C793"/>
      <c r="D793"/>
      <c r="E793"/>
      <c r="F793"/>
      <c r="G793"/>
      <c r="H793"/>
      <c r="I793"/>
      <c r="J793"/>
      <c r="K793"/>
      <c r="L793"/>
    </row>
    <row r="794" spans="1:12">
      <c r="A794"/>
      <c r="B794"/>
      <c r="C794"/>
      <c r="D794"/>
      <c r="E794"/>
      <c r="F794"/>
      <c r="G794"/>
      <c r="H794"/>
      <c r="I794"/>
      <c r="J794"/>
      <c r="K794"/>
      <c r="L794"/>
    </row>
    <row r="795" spans="1:12">
      <c r="A795"/>
      <c r="B795"/>
      <c r="C795"/>
      <c r="D795"/>
      <c r="E795"/>
      <c r="F795"/>
      <c r="G795"/>
      <c r="H795"/>
      <c r="I795"/>
      <c r="J795"/>
      <c r="K795"/>
      <c r="L795"/>
    </row>
    <row r="796" spans="1:12">
      <c r="A796"/>
      <c r="B796"/>
      <c r="C796"/>
      <c r="D796"/>
      <c r="E796"/>
      <c r="F796"/>
      <c r="G796"/>
      <c r="H796"/>
      <c r="I796"/>
      <c r="J796"/>
      <c r="K796"/>
      <c r="L796"/>
    </row>
    <row r="797" spans="1:12">
      <c r="A797"/>
      <c r="B797"/>
      <c r="C797"/>
      <c r="D797"/>
      <c r="E797"/>
      <c r="F797"/>
      <c r="G797"/>
      <c r="H797"/>
      <c r="I797"/>
      <c r="J797"/>
      <c r="K797"/>
      <c r="L797"/>
    </row>
    <row r="798" spans="1:12">
      <c r="A798"/>
      <c r="B798"/>
      <c r="C798"/>
      <c r="D798"/>
      <c r="E798"/>
      <c r="F798"/>
      <c r="G798"/>
      <c r="H798"/>
      <c r="I798"/>
      <c r="J798"/>
      <c r="K798"/>
      <c r="L798"/>
    </row>
    <row r="799" spans="1:12">
      <c r="A799"/>
      <c r="B799"/>
      <c r="C799"/>
      <c r="D799"/>
      <c r="E799"/>
      <c r="F799"/>
      <c r="G799"/>
      <c r="H799"/>
      <c r="I799"/>
      <c r="J799"/>
      <c r="K799"/>
      <c r="L799"/>
    </row>
    <row r="800" spans="1:12">
      <c r="A800"/>
      <c r="B800"/>
      <c r="C800"/>
      <c r="D800"/>
      <c r="E800"/>
      <c r="F800"/>
      <c r="G800"/>
      <c r="H800"/>
      <c r="I800"/>
      <c r="J800"/>
      <c r="K800"/>
      <c r="L800"/>
    </row>
    <row r="801" spans="1:12">
      <c r="A801"/>
      <c r="B801"/>
      <c r="C801"/>
      <c r="D801"/>
      <c r="E801"/>
      <c r="F801"/>
      <c r="G801"/>
      <c r="H801"/>
      <c r="I801"/>
      <c r="J801"/>
      <c r="K801"/>
      <c r="L801"/>
    </row>
    <row r="802" spans="1:12">
      <c r="A802"/>
      <c r="B802"/>
      <c r="C802"/>
      <c r="D802"/>
      <c r="E802"/>
      <c r="F802"/>
      <c r="G802"/>
      <c r="H802"/>
      <c r="I802"/>
      <c r="J802"/>
      <c r="K802"/>
      <c r="L802"/>
    </row>
    <row r="803" spans="1:12">
      <c r="A803"/>
      <c r="B803"/>
      <c r="C803"/>
      <c r="D803"/>
      <c r="E803"/>
      <c r="F803"/>
      <c r="G803"/>
      <c r="H803"/>
      <c r="I803"/>
      <c r="J803"/>
      <c r="K803"/>
      <c r="L803"/>
    </row>
    <row r="804" spans="1:12">
      <c r="A804"/>
      <c r="B804"/>
      <c r="C804"/>
      <c r="D804"/>
      <c r="E804"/>
      <c r="F804"/>
      <c r="G804"/>
      <c r="H804"/>
      <c r="I804"/>
      <c r="J804"/>
      <c r="K804"/>
      <c r="L804"/>
    </row>
    <row r="805" spans="1:12">
      <c r="A805"/>
      <c r="B805"/>
      <c r="C805"/>
      <c r="D805"/>
      <c r="E805"/>
      <c r="F805"/>
      <c r="G805"/>
      <c r="H805"/>
      <c r="I805"/>
      <c r="J805"/>
      <c r="K805"/>
      <c r="L805"/>
    </row>
    <row r="806" spans="1:12">
      <c r="A806"/>
      <c r="B806"/>
      <c r="C806"/>
      <c r="D806"/>
      <c r="E806"/>
      <c r="F806"/>
      <c r="G806"/>
      <c r="H806"/>
      <c r="I806"/>
      <c r="J806"/>
      <c r="K806"/>
      <c r="L806"/>
    </row>
    <row r="807" spans="1:12">
      <c r="A807"/>
      <c r="B807"/>
      <c r="C807"/>
      <c r="D807"/>
      <c r="E807"/>
      <c r="F807"/>
      <c r="G807"/>
      <c r="H807"/>
      <c r="I807"/>
      <c r="J807"/>
      <c r="K807"/>
      <c r="L807"/>
    </row>
    <row r="808" spans="1:12">
      <c r="A808"/>
      <c r="B808"/>
      <c r="C808"/>
      <c r="D808"/>
      <c r="E808"/>
      <c r="F808"/>
      <c r="G808"/>
      <c r="H808"/>
      <c r="I808"/>
      <c r="J808"/>
      <c r="K808"/>
      <c r="L808"/>
    </row>
    <row r="809" spans="1:12">
      <c r="A809"/>
      <c r="B809"/>
      <c r="C809"/>
      <c r="D809"/>
      <c r="E809"/>
      <c r="F809"/>
      <c r="G809"/>
      <c r="H809"/>
      <c r="I809"/>
      <c r="J809"/>
      <c r="K809"/>
      <c r="L809"/>
    </row>
    <row r="810" spans="1:12">
      <c r="A810"/>
      <c r="B810"/>
      <c r="C810"/>
      <c r="D810"/>
      <c r="E810"/>
      <c r="F810"/>
      <c r="G810"/>
      <c r="H810"/>
      <c r="I810"/>
      <c r="J810"/>
      <c r="K810"/>
      <c r="L810"/>
    </row>
    <row r="811" spans="1:12">
      <c r="A811"/>
      <c r="B811"/>
      <c r="C811"/>
      <c r="D811"/>
      <c r="E811"/>
      <c r="F811"/>
      <c r="G811"/>
      <c r="H811"/>
      <c r="I811"/>
      <c r="J811"/>
      <c r="K811"/>
      <c r="L811"/>
    </row>
    <row r="812" spans="1:12">
      <c r="A812"/>
      <c r="B812"/>
      <c r="C812"/>
      <c r="D812"/>
      <c r="E812"/>
      <c r="F812"/>
      <c r="G812"/>
      <c r="H812"/>
      <c r="I812"/>
      <c r="J812"/>
      <c r="K812"/>
      <c r="L812"/>
    </row>
    <row r="813" spans="1:12">
      <c r="A813"/>
      <c r="B813"/>
      <c r="C813"/>
      <c r="D813"/>
      <c r="E813"/>
      <c r="F813"/>
      <c r="G813"/>
      <c r="H813"/>
      <c r="I813"/>
      <c r="J813"/>
      <c r="K813"/>
      <c r="L813"/>
    </row>
    <row r="814" spans="1:12">
      <c r="A814"/>
      <c r="B814"/>
      <c r="C814"/>
      <c r="D814"/>
      <c r="E814"/>
      <c r="F814"/>
      <c r="G814"/>
      <c r="H814"/>
      <c r="I814"/>
      <c r="J814"/>
      <c r="K814"/>
      <c r="L814"/>
    </row>
    <row r="815" spans="1:12">
      <c r="A815"/>
      <c r="B815"/>
      <c r="C815"/>
      <c r="D815"/>
      <c r="E815"/>
      <c r="F815"/>
      <c r="G815"/>
      <c r="H815"/>
      <c r="I815"/>
      <c r="J815"/>
      <c r="K815"/>
      <c r="L815"/>
    </row>
    <row r="816" spans="1:12">
      <c r="A816"/>
      <c r="B816"/>
      <c r="C816"/>
      <c r="D816"/>
      <c r="E816"/>
      <c r="F816"/>
      <c r="G816"/>
      <c r="H816"/>
      <c r="I816"/>
      <c r="J816"/>
      <c r="K816"/>
      <c r="L816"/>
    </row>
    <row r="817" spans="1:12">
      <c r="A817"/>
      <c r="B817"/>
      <c r="C817"/>
      <c r="D817"/>
      <c r="E817"/>
      <c r="F817"/>
      <c r="G817"/>
      <c r="H817"/>
      <c r="I817"/>
      <c r="J817"/>
      <c r="K817"/>
      <c r="L817"/>
    </row>
    <row r="818" spans="1:12">
      <c r="A818"/>
      <c r="B818"/>
      <c r="C818"/>
      <c r="D818"/>
      <c r="E818"/>
      <c r="F818"/>
      <c r="G818"/>
      <c r="H818"/>
      <c r="I818"/>
      <c r="J818"/>
      <c r="K818"/>
      <c r="L818"/>
    </row>
    <row r="819" spans="1:12">
      <c r="A819"/>
      <c r="B819"/>
      <c r="C819"/>
      <c r="D819"/>
      <c r="E819"/>
      <c r="F819"/>
      <c r="G819"/>
      <c r="H819"/>
      <c r="I819"/>
      <c r="J819"/>
      <c r="K819"/>
      <c r="L819"/>
    </row>
    <row r="820" spans="1:12">
      <c r="A820"/>
      <c r="B820"/>
      <c r="C820"/>
      <c r="D820"/>
      <c r="E820"/>
      <c r="F820"/>
      <c r="G820"/>
      <c r="H820"/>
      <c r="I820"/>
      <c r="J820"/>
      <c r="K820"/>
      <c r="L820"/>
    </row>
    <row r="821" spans="1:12">
      <c r="A821"/>
      <c r="B821"/>
      <c r="C821"/>
      <c r="D821"/>
      <c r="E821"/>
      <c r="F821"/>
      <c r="G821"/>
      <c r="H821"/>
      <c r="I821"/>
      <c r="J821"/>
      <c r="K821"/>
      <c r="L821"/>
    </row>
    <row r="822" spans="1:12">
      <c r="A822"/>
      <c r="B822"/>
      <c r="C822"/>
      <c r="D822"/>
      <c r="E822"/>
      <c r="F822"/>
      <c r="G822"/>
      <c r="H822"/>
      <c r="I822"/>
      <c r="J822"/>
      <c r="K822"/>
      <c r="L822"/>
    </row>
    <row r="823" spans="1:12">
      <c r="A823"/>
      <c r="B823"/>
      <c r="C823"/>
      <c r="D823"/>
      <c r="E823"/>
      <c r="F823"/>
      <c r="G823"/>
      <c r="H823"/>
      <c r="I823"/>
      <c r="J823"/>
      <c r="K823"/>
      <c r="L823"/>
    </row>
    <row r="824" spans="1:12">
      <c r="A824"/>
      <c r="B824"/>
      <c r="C824"/>
      <c r="D824"/>
      <c r="E824"/>
      <c r="F824"/>
      <c r="G824"/>
      <c r="H824"/>
      <c r="I824"/>
      <c r="J824"/>
      <c r="K824"/>
      <c r="L824"/>
    </row>
    <row r="825" spans="1:12">
      <c r="A825"/>
      <c r="B825"/>
      <c r="C825"/>
      <c r="D825"/>
      <c r="E825"/>
      <c r="F825"/>
      <c r="G825"/>
      <c r="H825"/>
      <c r="I825"/>
      <c r="J825"/>
      <c r="K825"/>
      <c r="L825"/>
    </row>
    <row r="826" spans="1:12">
      <c r="A826"/>
      <c r="B826"/>
      <c r="C826"/>
      <c r="D826"/>
      <c r="E826"/>
      <c r="F826"/>
      <c r="G826"/>
      <c r="H826"/>
      <c r="I826"/>
      <c r="J826"/>
      <c r="K826"/>
      <c r="L826"/>
    </row>
    <row r="827" spans="1:12">
      <c r="A827"/>
      <c r="B827"/>
      <c r="C827"/>
      <c r="D827"/>
      <c r="E827"/>
      <c r="F827"/>
      <c r="G827"/>
      <c r="H827"/>
      <c r="I827"/>
      <c r="J827"/>
      <c r="K827"/>
      <c r="L827"/>
    </row>
    <row r="828" spans="1:12">
      <c r="A828"/>
      <c r="B828"/>
      <c r="C828"/>
      <c r="D828"/>
      <c r="E828"/>
      <c r="F828"/>
      <c r="G828"/>
      <c r="H828"/>
      <c r="I828"/>
      <c r="J828"/>
      <c r="K828"/>
      <c r="L828"/>
    </row>
    <row r="829" spans="1:12">
      <c r="A829"/>
      <c r="B829"/>
      <c r="C829"/>
      <c r="D829"/>
      <c r="E829"/>
      <c r="F829"/>
      <c r="G829"/>
      <c r="H829"/>
      <c r="I829"/>
      <c r="J829"/>
      <c r="K829"/>
      <c r="L829"/>
    </row>
    <row r="830" spans="1:12">
      <c r="A830"/>
      <c r="B830"/>
      <c r="C830"/>
      <c r="D830"/>
      <c r="E830"/>
      <c r="F830"/>
      <c r="G830"/>
      <c r="H830"/>
      <c r="I830"/>
      <c r="J830"/>
      <c r="K830"/>
      <c r="L830"/>
    </row>
    <row r="831" spans="1:12">
      <c r="A831"/>
      <c r="B831"/>
      <c r="C831"/>
      <c r="D831"/>
      <c r="E831"/>
      <c r="F831"/>
      <c r="G831"/>
      <c r="H831"/>
      <c r="I831"/>
      <c r="J831"/>
      <c r="K831"/>
      <c r="L831"/>
    </row>
    <row r="832" spans="1:12">
      <c r="A832"/>
      <c r="B832"/>
      <c r="C832"/>
      <c r="D832"/>
      <c r="E832"/>
      <c r="F832"/>
      <c r="G832"/>
      <c r="H832"/>
      <c r="I832"/>
      <c r="J832"/>
      <c r="K832"/>
      <c r="L832"/>
    </row>
    <row r="833" spans="1:12">
      <c r="A833"/>
      <c r="B833"/>
      <c r="C833"/>
      <c r="D833"/>
      <c r="E833"/>
      <c r="F833"/>
      <c r="G833"/>
      <c r="H833"/>
      <c r="I833"/>
      <c r="J833"/>
      <c r="K833"/>
      <c r="L833"/>
    </row>
    <row r="834" spans="1:12">
      <c r="A834"/>
      <c r="B834"/>
      <c r="C834"/>
      <c r="D834"/>
      <c r="E834"/>
      <c r="F834"/>
      <c r="G834"/>
      <c r="H834"/>
      <c r="I834"/>
      <c r="J834"/>
      <c r="K834"/>
      <c r="L834"/>
    </row>
    <row r="835" spans="1:12">
      <c r="A835"/>
      <c r="B835"/>
      <c r="C835"/>
      <c r="D835"/>
      <c r="E835"/>
      <c r="F835"/>
      <c r="G835"/>
      <c r="H835"/>
      <c r="I835"/>
      <c r="J835"/>
      <c r="K835"/>
      <c r="L835"/>
    </row>
    <row r="836" spans="1:12">
      <c r="A836"/>
      <c r="B836"/>
      <c r="C836"/>
      <c r="D836"/>
      <c r="E836"/>
      <c r="F836"/>
      <c r="G836"/>
      <c r="H836"/>
      <c r="I836"/>
      <c r="J836"/>
      <c r="K836"/>
      <c r="L836"/>
    </row>
    <row r="837" spans="1:12">
      <c r="A837"/>
      <c r="B837"/>
      <c r="C837"/>
      <c r="D837"/>
      <c r="E837"/>
      <c r="F837"/>
      <c r="G837"/>
      <c r="H837"/>
      <c r="I837"/>
      <c r="J837"/>
      <c r="K837"/>
      <c r="L837"/>
    </row>
    <row r="838" spans="1:12">
      <c r="A838"/>
      <c r="B838"/>
      <c r="C838"/>
      <c r="D838"/>
      <c r="E838"/>
      <c r="F838"/>
      <c r="G838"/>
      <c r="H838"/>
      <c r="I838"/>
      <c r="J838"/>
      <c r="K838"/>
      <c r="L838"/>
    </row>
    <row r="839" spans="1:12">
      <c r="A839"/>
      <c r="B839"/>
      <c r="C839"/>
      <c r="D839"/>
      <c r="E839"/>
      <c r="F839"/>
      <c r="G839"/>
      <c r="H839"/>
      <c r="I839"/>
      <c r="J839"/>
      <c r="K839"/>
      <c r="L839"/>
    </row>
    <row r="840" spans="1:12">
      <c r="A840"/>
      <c r="B840"/>
      <c r="C840"/>
      <c r="D840"/>
      <c r="E840"/>
      <c r="F840"/>
      <c r="G840"/>
      <c r="H840"/>
      <c r="I840"/>
      <c r="J840"/>
      <c r="K840"/>
      <c r="L840"/>
    </row>
    <row r="841" spans="1:12">
      <c r="A841"/>
      <c r="B841"/>
      <c r="C841"/>
      <c r="D841"/>
      <c r="E841"/>
      <c r="F841"/>
      <c r="G841"/>
      <c r="H841"/>
      <c r="I841"/>
      <c r="J841"/>
      <c r="K841"/>
      <c r="L841"/>
    </row>
    <row r="842" spans="1:12">
      <c r="A842"/>
      <c r="B842"/>
      <c r="C842"/>
      <c r="D842"/>
      <c r="E842"/>
      <c r="F842"/>
      <c r="G842"/>
      <c r="H842"/>
      <c r="I842"/>
      <c r="J842"/>
      <c r="K842"/>
      <c r="L842"/>
    </row>
    <row r="843" spans="1:12">
      <c r="A843"/>
      <c r="B843"/>
      <c r="C843"/>
      <c r="D843"/>
      <c r="E843"/>
      <c r="F843"/>
      <c r="G843"/>
      <c r="H843"/>
      <c r="I843"/>
      <c r="J843"/>
      <c r="K843"/>
      <c r="L843"/>
    </row>
    <row r="844" spans="1:12">
      <c r="A844"/>
      <c r="B844"/>
      <c r="C844"/>
      <c r="D844"/>
      <c r="E844"/>
      <c r="F844"/>
      <c r="G844"/>
      <c r="H844"/>
      <c r="I844"/>
      <c r="J844"/>
      <c r="K844"/>
      <c r="L844"/>
    </row>
    <row r="845" spans="1:12">
      <c r="A845"/>
      <c r="B845"/>
      <c r="C845"/>
      <c r="D845"/>
      <c r="E845"/>
      <c r="F845"/>
      <c r="G845"/>
      <c r="H845"/>
      <c r="I845"/>
      <c r="J845"/>
      <c r="K845"/>
      <c r="L845"/>
    </row>
    <row r="846" spans="1:12">
      <c r="A846"/>
      <c r="B846"/>
      <c r="C846"/>
      <c r="D846"/>
      <c r="E846"/>
      <c r="F846"/>
      <c r="G846"/>
      <c r="H846"/>
      <c r="I846"/>
      <c r="J846"/>
      <c r="K846"/>
      <c r="L846"/>
    </row>
    <row r="847" spans="1:12">
      <c r="A847"/>
      <c r="B847"/>
      <c r="C847"/>
      <c r="D847"/>
      <c r="E847"/>
      <c r="F847"/>
      <c r="G847"/>
      <c r="H847"/>
      <c r="I847"/>
      <c r="J847"/>
      <c r="K847"/>
      <c r="L847"/>
    </row>
    <row r="848" spans="1:12">
      <c r="A848"/>
      <c r="B848"/>
      <c r="C848"/>
      <c r="D848"/>
      <c r="E848"/>
      <c r="F848"/>
      <c r="G848"/>
      <c r="H848"/>
      <c r="I848"/>
      <c r="J848"/>
      <c r="K848"/>
      <c r="L848"/>
    </row>
    <row r="849" spans="1:12">
      <c r="A849"/>
      <c r="B849"/>
      <c r="C849"/>
      <c r="D849"/>
      <c r="E849"/>
      <c r="F849"/>
      <c r="G849"/>
      <c r="H849"/>
      <c r="I849"/>
      <c r="J849"/>
      <c r="K849"/>
      <c r="L849"/>
    </row>
    <row r="850" spans="1:12">
      <c r="A850"/>
      <c r="B850"/>
      <c r="C850"/>
      <c r="D850"/>
      <c r="E850"/>
      <c r="F850"/>
      <c r="G850"/>
      <c r="H850"/>
      <c r="I850"/>
      <c r="J850"/>
      <c r="K850"/>
      <c r="L850"/>
    </row>
    <row r="851" spans="1:12">
      <c r="A851"/>
      <c r="B851"/>
      <c r="C851"/>
      <c r="D851"/>
      <c r="E851"/>
      <c r="F851"/>
      <c r="G851"/>
      <c r="H851"/>
      <c r="I851"/>
      <c r="J851"/>
      <c r="K851"/>
      <c r="L851"/>
    </row>
    <row r="852" spans="1:12">
      <c r="A852"/>
      <c r="B852"/>
      <c r="C852"/>
      <c r="D852"/>
      <c r="E852"/>
      <c r="F852"/>
      <c r="G852"/>
      <c r="H852"/>
      <c r="I852"/>
      <c r="J852"/>
      <c r="K852"/>
      <c r="L852"/>
    </row>
    <row r="853" spans="1:12">
      <c r="A853"/>
      <c r="B853"/>
      <c r="C853"/>
      <c r="D853"/>
      <c r="E853"/>
      <c r="F853"/>
      <c r="G853"/>
      <c r="H853"/>
      <c r="I853"/>
      <c r="J853"/>
      <c r="K853"/>
      <c r="L853"/>
    </row>
    <row r="854" spans="1:12">
      <c r="A854"/>
      <c r="B854"/>
      <c r="C854"/>
      <c r="D854"/>
      <c r="E854"/>
      <c r="F854"/>
      <c r="G854"/>
      <c r="H854"/>
      <c r="I854"/>
      <c r="J854"/>
      <c r="K854"/>
      <c r="L854"/>
    </row>
    <row r="855" spans="1:12">
      <c r="A855"/>
      <c r="B855"/>
      <c r="C855"/>
      <c r="D855"/>
      <c r="E855"/>
      <c r="F855"/>
      <c r="G855"/>
      <c r="H855"/>
      <c r="I855"/>
      <c r="J855"/>
      <c r="K855"/>
      <c r="L855"/>
    </row>
    <row r="856" spans="1:12">
      <c r="A856"/>
      <c r="B856"/>
      <c r="C856"/>
      <c r="D856"/>
      <c r="E856"/>
      <c r="F856"/>
      <c r="G856"/>
      <c r="H856"/>
      <c r="I856"/>
      <c r="J856"/>
      <c r="K856"/>
      <c r="L856"/>
    </row>
    <row r="857" spans="1:12">
      <c r="A857"/>
      <c r="B857"/>
      <c r="C857"/>
      <c r="D857"/>
      <c r="E857"/>
      <c r="F857"/>
      <c r="G857"/>
      <c r="H857"/>
      <c r="I857"/>
      <c r="J857"/>
      <c r="K857"/>
      <c r="L857"/>
    </row>
    <row r="858" spans="1:12">
      <c r="A858"/>
      <c r="B858"/>
      <c r="C858"/>
      <c r="D858"/>
      <c r="E858"/>
      <c r="F858"/>
      <c r="G858"/>
      <c r="H858"/>
      <c r="I858"/>
      <c r="J858"/>
      <c r="K858"/>
      <c r="L858"/>
    </row>
    <row r="859" spans="1:12">
      <c r="A859"/>
      <c r="B859"/>
      <c r="C859"/>
      <c r="D859"/>
      <c r="E859"/>
      <c r="F859"/>
      <c r="G859"/>
      <c r="H859"/>
      <c r="I859"/>
      <c r="J859"/>
      <c r="K859"/>
      <c r="L859"/>
    </row>
    <row r="860" spans="1:12">
      <c r="A860"/>
      <c r="B860"/>
      <c r="C860"/>
      <c r="D860"/>
      <c r="E860"/>
      <c r="F860"/>
      <c r="G860"/>
      <c r="H860"/>
      <c r="I860"/>
      <c r="J860"/>
      <c r="K860"/>
      <c r="L860"/>
    </row>
    <row r="861" spans="1:12">
      <c r="A861"/>
      <c r="B861"/>
      <c r="C861"/>
      <c r="D861"/>
      <c r="E861"/>
      <c r="F861"/>
      <c r="G861"/>
      <c r="H861"/>
      <c r="I861"/>
      <c r="J861"/>
      <c r="K861"/>
      <c r="L861"/>
    </row>
    <row r="862" spans="1:12">
      <c r="A862"/>
      <c r="B862"/>
      <c r="C862"/>
      <c r="D862"/>
      <c r="E862"/>
      <c r="F862"/>
      <c r="G862"/>
      <c r="H862"/>
      <c r="I862"/>
      <c r="J862"/>
      <c r="K862"/>
      <c r="L862"/>
    </row>
    <row r="863" spans="1:12">
      <c r="A863"/>
      <c r="B863"/>
      <c r="C863"/>
      <c r="D863"/>
      <c r="E863"/>
      <c r="F863"/>
      <c r="G863"/>
      <c r="H863"/>
      <c r="I863"/>
      <c r="J863"/>
      <c r="K863"/>
      <c r="L863"/>
    </row>
    <row r="864" spans="1:12">
      <c r="A864"/>
      <c r="B864"/>
      <c r="C864"/>
      <c r="D864"/>
      <c r="E864"/>
      <c r="F864"/>
      <c r="G864"/>
      <c r="H864"/>
      <c r="I864"/>
      <c r="J864"/>
      <c r="K864"/>
      <c r="L864"/>
    </row>
    <row r="865" spans="1:12">
      <c r="A865"/>
      <c r="B865"/>
      <c r="C865"/>
      <c r="D865"/>
      <c r="E865"/>
      <c r="F865"/>
      <c r="G865"/>
      <c r="H865"/>
      <c r="I865"/>
      <c r="J865"/>
      <c r="K865"/>
      <c r="L865"/>
    </row>
    <row r="866" spans="1:12">
      <c r="A866"/>
      <c r="B866"/>
      <c r="C866"/>
      <c r="D866"/>
      <c r="E866"/>
      <c r="F866"/>
      <c r="G866"/>
      <c r="H866"/>
      <c r="I866"/>
      <c r="J866"/>
      <c r="K866"/>
      <c r="L866"/>
    </row>
    <row r="867" spans="1:12">
      <c r="A867"/>
      <c r="B867"/>
      <c r="C867"/>
      <c r="D867"/>
      <c r="E867"/>
      <c r="F867"/>
      <c r="G867"/>
      <c r="H867"/>
      <c r="I867"/>
      <c r="J867"/>
      <c r="K867"/>
      <c r="L867"/>
    </row>
    <row r="868" spans="1:12">
      <c r="A868"/>
      <c r="B868"/>
      <c r="C868"/>
      <c r="D868"/>
      <c r="E868"/>
      <c r="F868"/>
      <c r="G868"/>
      <c r="H868"/>
      <c r="I868"/>
      <c r="J868"/>
      <c r="K868"/>
      <c r="L868"/>
    </row>
    <row r="869" spans="1:12">
      <c r="A869"/>
      <c r="B869"/>
      <c r="C869"/>
      <c r="D869"/>
      <c r="E869"/>
      <c r="F869"/>
      <c r="G869"/>
      <c r="H869"/>
      <c r="I869"/>
      <c r="J869"/>
      <c r="K869"/>
      <c r="L869"/>
    </row>
    <row r="870" spans="1:12">
      <c r="A870"/>
      <c r="B870"/>
      <c r="C870"/>
      <c r="D870"/>
      <c r="E870"/>
      <c r="F870"/>
      <c r="G870"/>
      <c r="H870"/>
      <c r="I870"/>
      <c r="J870"/>
      <c r="K870"/>
      <c r="L870"/>
    </row>
    <row r="871" spans="1:12">
      <c r="A871"/>
      <c r="B871"/>
      <c r="C871"/>
      <c r="D871"/>
      <c r="E871"/>
      <c r="F871"/>
      <c r="G871"/>
      <c r="H871"/>
      <c r="I871"/>
      <c r="J871"/>
      <c r="K871"/>
      <c r="L871"/>
    </row>
    <row r="872" spans="1:12">
      <c r="A872"/>
      <c r="B872"/>
      <c r="C872"/>
      <c r="D872"/>
      <c r="E872"/>
      <c r="F872"/>
      <c r="G872"/>
      <c r="H872"/>
      <c r="I872"/>
      <c r="J872"/>
      <c r="K872"/>
      <c r="L872"/>
    </row>
    <row r="873" spans="1:12">
      <c r="A873"/>
      <c r="B873"/>
      <c r="C873"/>
      <c r="D873"/>
      <c r="E873"/>
      <c r="F873"/>
      <c r="G873"/>
      <c r="H873"/>
      <c r="I873"/>
      <c r="J873"/>
      <c r="K873"/>
      <c r="L873"/>
    </row>
    <row r="874" spans="1:12">
      <c r="A874"/>
      <c r="B874"/>
      <c r="C874"/>
      <c r="D874"/>
      <c r="E874"/>
      <c r="F874"/>
      <c r="G874"/>
      <c r="H874"/>
      <c r="I874"/>
      <c r="J874"/>
      <c r="K874"/>
      <c r="L874"/>
    </row>
    <row r="875" spans="1:12">
      <c r="A875"/>
      <c r="B875"/>
      <c r="C875"/>
      <c r="D875"/>
      <c r="E875"/>
      <c r="F875"/>
      <c r="G875"/>
      <c r="H875"/>
      <c r="I875"/>
      <c r="J875"/>
      <c r="K875"/>
      <c r="L875"/>
    </row>
    <row r="876" spans="1:12">
      <c r="A876"/>
      <c r="B876"/>
      <c r="C876"/>
      <c r="D876"/>
      <c r="E876"/>
      <c r="F876"/>
      <c r="G876"/>
      <c r="H876"/>
      <c r="I876"/>
      <c r="J876"/>
      <c r="K876"/>
      <c r="L876"/>
    </row>
    <row r="877" spans="1:12">
      <c r="A877"/>
      <c r="B877"/>
      <c r="C877"/>
      <c r="D877"/>
      <c r="E877"/>
      <c r="F877"/>
      <c r="G877"/>
      <c r="H877"/>
      <c r="I877"/>
      <c r="J877"/>
      <c r="K877"/>
      <c r="L877"/>
    </row>
    <row r="878" spans="1:12">
      <c r="A878"/>
      <c r="B878"/>
      <c r="C878"/>
      <c r="D878"/>
      <c r="E878"/>
      <c r="F878"/>
      <c r="G878"/>
      <c r="H878"/>
      <c r="I878"/>
      <c r="J878"/>
      <c r="K878"/>
      <c r="L878"/>
    </row>
    <row r="879" spans="1:12">
      <c r="A879"/>
      <c r="B879"/>
      <c r="C879"/>
      <c r="D879"/>
      <c r="E879"/>
      <c r="F879"/>
      <c r="G879"/>
      <c r="H879"/>
      <c r="I879"/>
      <c r="J879"/>
      <c r="K879"/>
      <c r="L879"/>
    </row>
    <row r="880" spans="1:12">
      <c r="A880"/>
      <c r="B880"/>
      <c r="C880"/>
      <c r="D880"/>
      <c r="E880"/>
      <c r="F880"/>
      <c r="G880"/>
      <c r="H880"/>
      <c r="I880"/>
      <c r="J880"/>
      <c r="K880"/>
      <c r="L880"/>
    </row>
    <row r="881" spans="1:12">
      <c r="A881"/>
      <c r="B881"/>
      <c r="C881"/>
      <c r="D881"/>
      <c r="E881"/>
      <c r="F881"/>
      <c r="G881"/>
      <c r="H881"/>
      <c r="I881"/>
      <c r="J881"/>
      <c r="K881"/>
      <c r="L881"/>
    </row>
    <row r="882" spans="1:12">
      <c r="A882"/>
      <c r="B882"/>
      <c r="C882"/>
      <c r="D882"/>
      <c r="E882"/>
      <c r="F882"/>
      <c r="G882"/>
      <c r="H882"/>
      <c r="I882"/>
      <c r="J882"/>
      <c r="K882"/>
      <c r="L882"/>
    </row>
    <row r="883" spans="1:12">
      <c r="A883"/>
      <c r="B883"/>
      <c r="C883"/>
      <c r="D883"/>
      <c r="E883"/>
      <c r="F883"/>
      <c r="G883"/>
      <c r="H883"/>
      <c r="I883"/>
      <c r="J883"/>
      <c r="K883"/>
      <c r="L883"/>
    </row>
    <row r="884" spans="1:12">
      <c r="A884"/>
      <c r="B884"/>
      <c r="C884"/>
      <c r="D884"/>
      <c r="E884"/>
      <c r="F884"/>
      <c r="G884"/>
      <c r="H884"/>
      <c r="I884"/>
      <c r="J884"/>
      <c r="K884"/>
      <c r="L884"/>
    </row>
    <row r="885" spans="1:12">
      <c r="A885"/>
      <c r="B885"/>
      <c r="C885"/>
      <c r="D885"/>
      <c r="E885"/>
      <c r="F885"/>
      <c r="G885"/>
      <c r="H885"/>
      <c r="I885"/>
      <c r="J885"/>
      <c r="K885"/>
      <c r="L885"/>
    </row>
    <row r="886" spans="1:12">
      <c r="A886"/>
      <c r="B886"/>
      <c r="C886"/>
      <c r="D886"/>
      <c r="E886"/>
      <c r="F886"/>
      <c r="G886"/>
      <c r="H886"/>
      <c r="I886"/>
      <c r="J886"/>
      <c r="K886"/>
      <c r="L886"/>
    </row>
    <row r="887" spans="1:12">
      <c r="A887"/>
      <c r="B887"/>
      <c r="C887"/>
      <c r="D887"/>
      <c r="E887"/>
      <c r="F887"/>
      <c r="G887"/>
      <c r="H887"/>
      <c r="I887"/>
      <c r="J887"/>
      <c r="K887"/>
      <c r="L887"/>
    </row>
    <row r="888" spans="1:12">
      <c r="A888"/>
      <c r="B888"/>
      <c r="C888"/>
      <c r="D888"/>
      <c r="E888"/>
      <c r="F888"/>
      <c r="G888"/>
      <c r="H888"/>
      <c r="I888"/>
      <c r="J888"/>
      <c r="K888"/>
      <c r="L888"/>
    </row>
    <row r="889" spans="1:12">
      <c r="A889"/>
      <c r="B889"/>
      <c r="C889"/>
      <c r="D889"/>
      <c r="E889"/>
      <c r="F889"/>
      <c r="G889"/>
      <c r="H889"/>
      <c r="I889"/>
      <c r="J889"/>
      <c r="K889"/>
      <c r="L889"/>
    </row>
    <row r="890" spans="1:12">
      <c r="A890"/>
      <c r="B890"/>
      <c r="C890"/>
      <c r="D890"/>
      <c r="E890"/>
      <c r="F890"/>
      <c r="G890"/>
      <c r="H890"/>
      <c r="I890"/>
      <c r="J890"/>
      <c r="K890"/>
      <c r="L890"/>
    </row>
    <row r="891" spans="1:12">
      <c r="A891"/>
      <c r="B891"/>
      <c r="C891"/>
      <c r="D891"/>
      <c r="E891"/>
      <c r="F891"/>
      <c r="G891"/>
      <c r="H891"/>
      <c r="I891"/>
      <c r="J891"/>
      <c r="K891"/>
      <c r="L891"/>
    </row>
    <row r="892" spans="1:12">
      <c r="A892"/>
      <c r="B892"/>
      <c r="C892"/>
      <c r="D892"/>
      <c r="E892"/>
      <c r="F892"/>
      <c r="G892"/>
      <c r="H892"/>
      <c r="I892"/>
      <c r="J892"/>
      <c r="K892"/>
      <c r="L892"/>
    </row>
    <row r="893" spans="1:12">
      <c r="A893"/>
      <c r="B893"/>
      <c r="C893"/>
      <c r="D893"/>
      <c r="E893"/>
      <c r="F893"/>
      <c r="G893"/>
      <c r="H893"/>
      <c r="I893"/>
      <c r="J893"/>
      <c r="K893"/>
      <c r="L893"/>
    </row>
    <row r="894" spans="1:12">
      <c r="A894"/>
      <c r="B894"/>
      <c r="C894"/>
      <c r="D894"/>
      <c r="E894"/>
      <c r="F894"/>
      <c r="G894"/>
      <c r="H894"/>
      <c r="I894"/>
      <c r="J894"/>
      <c r="K894"/>
      <c r="L894"/>
    </row>
    <row r="895" spans="1:12">
      <c r="A895"/>
      <c r="B895"/>
      <c r="C895"/>
      <c r="D895"/>
      <c r="E895"/>
      <c r="F895"/>
      <c r="G895"/>
      <c r="H895"/>
      <c r="I895"/>
      <c r="J895"/>
      <c r="K895"/>
      <c r="L895"/>
    </row>
    <row r="896" spans="1:12">
      <c r="A896"/>
      <c r="B896"/>
      <c r="C896"/>
      <c r="D896"/>
      <c r="E896"/>
      <c r="F896"/>
      <c r="G896"/>
      <c r="H896"/>
      <c r="I896"/>
      <c r="J896"/>
      <c r="K896"/>
      <c r="L896"/>
    </row>
    <row r="897" spans="1:12">
      <c r="A897"/>
      <c r="B897"/>
      <c r="C897"/>
      <c r="D897"/>
      <c r="E897"/>
      <c r="F897"/>
      <c r="G897"/>
      <c r="H897"/>
      <c r="I897"/>
      <c r="J897"/>
      <c r="K897"/>
      <c r="L897"/>
    </row>
    <row r="898" spans="1:12">
      <c r="A898"/>
      <c r="B898"/>
      <c r="C898"/>
      <c r="D898"/>
      <c r="E898"/>
      <c r="F898"/>
      <c r="G898"/>
      <c r="H898"/>
      <c r="I898"/>
      <c r="J898"/>
      <c r="K898"/>
      <c r="L898"/>
    </row>
    <row r="899" spans="1:12">
      <c r="A899"/>
      <c r="B899"/>
      <c r="C899"/>
      <c r="D899"/>
      <c r="E899"/>
      <c r="F899"/>
      <c r="G899"/>
      <c r="H899"/>
      <c r="I899"/>
      <c r="J899"/>
      <c r="K899"/>
      <c r="L899"/>
    </row>
    <row r="900" spans="1:12">
      <c r="A900"/>
      <c r="B900"/>
      <c r="C900"/>
      <c r="D900"/>
      <c r="E900"/>
      <c r="F900"/>
      <c r="G900"/>
      <c r="H900"/>
      <c r="I900"/>
      <c r="J900"/>
      <c r="K900"/>
      <c r="L900"/>
    </row>
    <row r="901" spans="1:12">
      <c r="A901"/>
      <c r="B901"/>
      <c r="C901"/>
      <c r="D901"/>
      <c r="E901"/>
      <c r="F901"/>
      <c r="G901"/>
      <c r="H901"/>
      <c r="I901"/>
      <c r="J901"/>
      <c r="K901"/>
      <c r="L901"/>
    </row>
    <row r="902" spans="1:12">
      <c r="A902"/>
      <c r="B902"/>
      <c r="C902"/>
      <c r="D902"/>
      <c r="E902"/>
      <c r="F902"/>
      <c r="G902"/>
      <c r="H902"/>
      <c r="I902"/>
      <c r="J902"/>
      <c r="K902"/>
      <c r="L902"/>
    </row>
    <row r="903" spans="1:12">
      <c r="A903"/>
      <c r="B903"/>
      <c r="C903"/>
      <c r="D903"/>
      <c r="E903"/>
      <c r="F903"/>
      <c r="G903"/>
      <c r="H903"/>
      <c r="I903"/>
      <c r="J903"/>
      <c r="K903"/>
      <c r="L903"/>
    </row>
    <row r="904" spans="1:12">
      <c r="A904"/>
      <c r="B904"/>
      <c r="C904"/>
      <c r="D904"/>
      <c r="E904"/>
      <c r="F904"/>
      <c r="G904"/>
      <c r="H904"/>
      <c r="I904"/>
      <c r="J904"/>
      <c r="K904"/>
      <c r="L904"/>
    </row>
    <row r="905" spans="1:12">
      <c r="A905"/>
      <c r="B905"/>
      <c r="C905"/>
      <c r="D905"/>
      <c r="E905"/>
      <c r="F905"/>
      <c r="G905"/>
      <c r="H905"/>
      <c r="I905"/>
      <c r="J905"/>
      <c r="K905"/>
      <c r="L905"/>
    </row>
    <row r="906" spans="1:12">
      <c r="A906"/>
      <c r="B906"/>
      <c r="C906"/>
      <c r="D906"/>
      <c r="E906"/>
      <c r="F906"/>
      <c r="G906"/>
      <c r="H906"/>
      <c r="I906"/>
      <c r="J906"/>
      <c r="K906"/>
      <c r="L906"/>
    </row>
    <row r="907" spans="1:12">
      <c r="A907"/>
      <c r="B907"/>
      <c r="C907"/>
      <c r="D907"/>
      <c r="E907"/>
      <c r="F907"/>
      <c r="G907"/>
      <c r="H907"/>
      <c r="I907"/>
      <c r="J907"/>
      <c r="K907"/>
      <c r="L907"/>
    </row>
    <row r="908" spans="1:12">
      <c r="A908"/>
      <c r="B908"/>
      <c r="C908"/>
      <c r="D908"/>
      <c r="E908"/>
      <c r="F908"/>
      <c r="G908"/>
      <c r="H908"/>
      <c r="I908"/>
      <c r="J908"/>
      <c r="K908"/>
      <c r="L908"/>
    </row>
    <row r="909" spans="1:12">
      <c r="A909"/>
      <c r="B909"/>
      <c r="C909"/>
      <c r="D909"/>
      <c r="E909"/>
      <c r="F909"/>
      <c r="G909"/>
      <c r="H909"/>
      <c r="I909"/>
      <c r="J909"/>
      <c r="K909"/>
      <c r="L909"/>
    </row>
    <row r="910" spans="1:12">
      <c r="A910"/>
      <c r="B910"/>
      <c r="C910"/>
      <c r="D910"/>
      <c r="E910"/>
      <c r="F910"/>
      <c r="G910"/>
      <c r="H910"/>
      <c r="I910"/>
      <c r="J910"/>
      <c r="K910"/>
      <c r="L910"/>
    </row>
    <row r="911" spans="1:12">
      <c r="A911"/>
      <c r="B911"/>
      <c r="C911"/>
      <c r="D911"/>
      <c r="E911"/>
      <c r="F911"/>
      <c r="G911"/>
      <c r="H911"/>
      <c r="I911"/>
      <c r="J911"/>
      <c r="K911"/>
      <c r="L911"/>
    </row>
    <row r="912" spans="1:12">
      <c r="A912"/>
      <c r="B912"/>
      <c r="C912"/>
      <c r="D912"/>
      <c r="E912"/>
      <c r="F912"/>
      <c r="G912"/>
      <c r="H912"/>
      <c r="I912"/>
      <c r="J912"/>
      <c r="K912"/>
      <c r="L912"/>
    </row>
    <row r="913" spans="1:12">
      <c r="A913"/>
      <c r="B913"/>
      <c r="C913"/>
      <c r="D913"/>
      <c r="E913"/>
      <c r="F913"/>
      <c r="G913"/>
      <c r="H913"/>
      <c r="I913"/>
      <c r="J913"/>
      <c r="K913"/>
      <c r="L913"/>
    </row>
    <row r="914" spans="1:12">
      <c r="A914"/>
      <c r="B914"/>
      <c r="C914"/>
      <c r="D914"/>
      <c r="E914"/>
      <c r="F914"/>
      <c r="G914"/>
      <c r="H914"/>
      <c r="I914"/>
      <c r="J914"/>
      <c r="K914"/>
      <c r="L914"/>
    </row>
    <row r="915" spans="1:12">
      <c r="A915"/>
      <c r="B915"/>
      <c r="C915"/>
      <c r="D915"/>
      <c r="E915"/>
      <c r="F915"/>
      <c r="G915"/>
      <c r="H915"/>
      <c r="I915"/>
      <c r="J915"/>
      <c r="K915"/>
      <c r="L915"/>
    </row>
    <row r="916" spans="1:12">
      <c r="A916"/>
      <c r="B916"/>
      <c r="C916"/>
      <c r="D916"/>
      <c r="E916"/>
      <c r="F916"/>
      <c r="G916"/>
      <c r="H916"/>
      <c r="I916"/>
      <c r="J916"/>
      <c r="K916"/>
      <c r="L916"/>
    </row>
    <row r="917" spans="1:12">
      <c r="A917"/>
      <c r="B917"/>
      <c r="C917"/>
      <c r="D917"/>
      <c r="E917"/>
      <c r="F917"/>
      <c r="G917"/>
      <c r="H917"/>
      <c r="I917"/>
      <c r="J917"/>
      <c r="K917"/>
      <c r="L917"/>
    </row>
    <row r="918" spans="1:12">
      <c r="A918"/>
      <c r="B918"/>
      <c r="C918"/>
      <c r="D918"/>
      <c r="E918"/>
      <c r="F918"/>
      <c r="G918"/>
      <c r="H918"/>
      <c r="I918"/>
      <c r="J918"/>
      <c r="K918"/>
      <c r="L918"/>
    </row>
    <row r="919" spans="1:12">
      <c r="A919"/>
      <c r="B919"/>
      <c r="C919"/>
      <c r="D919"/>
      <c r="E919"/>
      <c r="F919"/>
      <c r="G919"/>
      <c r="H919"/>
      <c r="I919"/>
      <c r="J919"/>
      <c r="K919"/>
      <c r="L919"/>
    </row>
    <row r="920" spans="1:12">
      <c r="A920"/>
      <c r="B920"/>
      <c r="C920"/>
      <c r="D920"/>
      <c r="E920"/>
      <c r="F920"/>
      <c r="G920"/>
      <c r="H920"/>
      <c r="I920"/>
      <c r="J920"/>
      <c r="K920"/>
      <c r="L920"/>
    </row>
    <row r="921" spans="1:12">
      <c r="A921"/>
      <c r="B921"/>
      <c r="C921"/>
      <c r="D921"/>
      <c r="E921"/>
      <c r="F921"/>
      <c r="G921"/>
      <c r="H921"/>
      <c r="I921"/>
      <c r="J921"/>
      <c r="K921"/>
      <c r="L921"/>
    </row>
    <row r="922" spans="1:12">
      <c r="A922"/>
      <c r="B922"/>
      <c r="C922"/>
      <c r="D922"/>
      <c r="E922"/>
      <c r="F922"/>
      <c r="G922"/>
      <c r="H922"/>
      <c r="I922"/>
      <c r="J922"/>
      <c r="K922"/>
      <c r="L922"/>
    </row>
    <row r="923" spans="1:12">
      <c r="A923"/>
      <c r="B923"/>
      <c r="C923"/>
      <c r="D923"/>
      <c r="E923"/>
      <c r="F923"/>
      <c r="G923"/>
      <c r="H923"/>
      <c r="I923"/>
      <c r="J923"/>
      <c r="K923"/>
      <c r="L923"/>
    </row>
    <row r="924" spans="1:12">
      <c r="A924"/>
      <c r="B924"/>
      <c r="C924"/>
      <c r="D924"/>
      <c r="E924"/>
      <c r="F924"/>
      <c r="G924"/>
      <c r="H924"/>
      <c r="I924"/>
      <c r="J924"/>
      <c r="K924"/>
      <c r="L924"/>
    </row>
    <row r="925" spans="1:12">
      <c r="A925"/>
      <c r="B925"/>
      <c r="C925"/>
      <c r="D925"/>
      <c r="E925"/>
      <c r="F925"/>
      <c r="G925"/>
      <c r="H925"/>
      <c r="I925"/>
      <c r="J925"/>
      <c r="K925"/>
      <c r="L925"/>
    </row>
    <row r="926" spans="1:12">
      <c r="A926"/>
      <c r="B926"/>
      <c r="C926"/>
      <c r="D926"/>
      <c r="E926"/>
      <c r="F926"/>
      <c r="G926"/>
      <c r="H926"/>
      <c r="I926"/>
      <c r="J926"/>
      <c r="K926"/>
      <c r="L926"/>
    </row>
    <row r="927" spans="1:12">
      <c r="A927"/>
      <c r="B927"/>
      <c r="C927"/>
      <c r="D927"/>
      <c r="E927"/>
      <c r="F927"/>
      <c r="G927"/>
      <c r="H927"/>
      <c r="I927"/>
      <c r="J927"/>
      <c r="K927"/>
      <c r="L927"/>
    </row>
    <row r="928" spans="1:12">
      <c r="A928"/>
      <c r="B928"/>
      <c r="C928"/>
      <c r="D928"/>
      <c r="E928"/>
      <c r="F928"/>
      <c r="G928"/>
      <c r="H928"/>
      <c r="I928"/>
      <c r="J928"/>
      <c r="K928"/>
      <c r="L928"/>
    </row>
    <row r="929" spans="1:12">
      <c r="A929"/>
      <c r="B929"/>
      <c r="C929"/>
      <c r="D929"/>
      <c r="E929"/>
      <c r="F929"/>
      <c r="G929"/>
      <c r="H929"/>
      <c r="I929"/>
      <c r="J929"/>
      <c r="K929"/>
      <c r="L929"/>
    </row>
    <row r="930" spans="1:12">
      <c r="A930"/>
      <c r="B930"/>
      <c r="C930"/>
      <c r="D930"/>
      <c r="E930"/>
      <c r="F930"/>
      <c r="G930"/>
      <c r="H930"/>
      <c r="I930"/>
      <c r="J930"/>
      <c r="K930"/>
      <c r="L930"/>
    </row>
    <row r="931" spans="1:12">
      <c r="A931"/>
      <c r="B931"/>
      <c r="C931"/>
      <c r="D931"/>
      <c r="E931"/>
      <c r="F931"/>
      <c r="G931"/>
      <c r="H931"/>
      <c r="I931"/>
      <c r="J931"/>
      <c r="K931"/>
      <c r="L931"/>
    </row>
    <row r="932" spans="1:12">
      <c r="A932"/>
      <c r="B932"/>
      <c r="C932"/>
      <c r="D932"/>
      <c r="E932"/>
      <c r="F932"/>
      <c r="G932"/>
      <c r="H932"/>
      <c r="I932"/>
      <c r="J932"/>
      <c r="K932"/>
      <c r="L932"/>
    </row>
    <row r="933" spans="1:12">
      <c r="A933"/>
      <c r="B933"/>
      <c r="C933"/>
      <c r="D933"/>
      <c r="E933"/>
      <c r="F933"/>
      <c r="G933"/>
      <c r="H933"/>
      <c r="I933"/>
      <c r="J933"/>
      <c r="K933"/>
      <c r="L933"/>
    </row>
    <row r="934" spans="1:12">
      <c r="A934"/>
      <c r="B934"/>
      <c r="C934"/>
      <c r="D934"/>
      <c r="E934"/>
      <c r="F934"/>
      <c r="G934"/>
      <c r="H934"/>
      <c r="I934"/>
      <c r="J934"/>
      <c r="K934"/>
      <c r="L934"/>
    </row>
    <row r="935" spans="1:12">
      <c r="A935"/>
      <c r="B935"/>
      <c r="C935"/>
      <c r="D935"/>
      <c r="E935"/>
      <c r="F935"/>
      <c r="G935"/>
      <c r="H935"/>
      <c r="I935"/>
      <c r="J935"/>
      <c r="K935"/>
      <c r="L935"/>
    </row>
    <row r="936" spans="1:12">
      <c r="A936"/>
      <c r="B936"/>
      <c r="C936"/>
      <c r="D936"/>
      <c r="E936"/>
      <c r="F936"/>
      <c r="G936"/>
      <c r="H936"/>
      <c r="I936"/>
      <c r="J936"/>
      <c r="K936"/>
      <c r="L936"/>
    </row>
    <row r="937" spans="1:12">
      <c r="A937"/>
      <c r="B937"/>
      <c r="C937"/>
      <c r="D937"/>
      <c r="E937"/>
      <c r="F937"/>
      <c r="G937"/>
      <c r="H937"/>
      <c r="I937"/>
      <c r="J937"/>
      <c r="K937"/>
      <c r="L937"/>
    </row>
    <row r="938" spans="1:12">
      <c r="A938"/>
      <c r="B938"/>
      <c r="C938"/>
      <c r="D938"/>
      <c r="E938"/>
      <c r="F938"/>
      <c r="G938"/>
      <c r="H938"/>
      <c r="I938"/>
      <c r="J938"/>
      <c r="K938"/>
      <c r="L938"/>
    </row>
    <row r="939" spans="1:12">
      <c r="A939"/>
      <c r="B939"/>
      <c r="C939"/>
      <c r="D939"/>
      <c r="E939"/>
      <c r="F939"/>
      <c r="G939"/>
      <c r="H939"/>
      <c r="I939"/>
      <c r="J939"/>
      <c r="K939"/>
      <c r="L939"/>
    </row>
    <row r="940" spans="1:12">
      <c r="A940"/>
      <c r="B940"/>
      <c r="C940"/>
      <c r="D940"/>
      <c r="E940"/>
      <c r="F940"/>
      <c r="G940"/>
      <c r="H940"/>
      <c r="I940"/>
      <c r="J940"/>
      <c r="K940"/>
      <c r="L940"/>
    </row>
    <row r="941" spans="1:12">
      <c r="A941"/>
      <c r="B941"/>
      <c r="C941"/>
      <c r="D941"/>
      <c r="E941"/>
      <c r="F941"/>
      <c r="G941"/>
      <c r="H941"/>
      <c r="I941"/>
      <c r="J941"/>
      <c r="K941"/>
      <c r="L941"/>
    </row>
    <row r="942" spans="1:12">
      <c r="A942"/>
      <c r="B942"/>
      <c r="C942"/>
      <c r="D942"/>
      <c r="E942"/>
      <c r="F942"/>
      <c r="G942"/>
      <c r="H942"/>
      <c r="I942"/>
      <c r="J942"/>
      <c r="K942"/>
      <c r="L942"/>
    </row>
    <row r="943" spans="1:12">
      <c r="A943"/>
      <c r="B943"/>
      <c r="C943"/>
      <c r="D943"/>
      <c r="E943"/>
      <c r="F943"/>
      <c r="G943"/>
      <c r="H943"/>
      <c r="I943"/>
      <c r="J943"/>
      <c r="K943"/>
      <c r="L943"/>
    </row>
    <row r="944" spans="1:12">
      <c r="A944"/>
      <c r="B944"/>
      <c r="C944"/>
      <c r="D944"/>
      <c r="E944"/>
      <c r="F944"/>
      <c r="G944"/>
      <c r="H944"/>
      <c r="I944"/>
      <c r="J944"/>
      <c r="K944"/>
      <c r="L944"/>
    </row>
    <row r="945" spans="1:12">
      <c r="A945"/>
      <c r="B945"/>
      <c r="C945"/>
      <c r="D945"/>
      <c r="E945"/>
      <c r="F945"/>
      <c r="G945"/>
      <c r="H945"/>
      <c r="I945"/>
      <c r="J945"/>
      <c r="K945"/>
      <c r="L945"/>
    </row>
    <row r="946" spans="1:12">
      <c r="A946"/>
      <c r="B946"/>
      <c r="C946"/>
      <c r="D946"/>
      <c r="E946"/>
      <c r="F946"/>
      <c r="G946"/>
      <c r="H946"/>
      <c r="I946"/>
      <c r="J946"/>
      <c r="K946"/>
      <c r="L946"/>
    </row>
    <row r="947" spans="1:12">
      <c r="A947"/>
      <c r="B947"/>
      <c r="C947"/>
      <c r="D947"/>
      <c r="E947"/>
      <c r="F947"/>
      <c r="G947"/>
      <c r="H947"/>
      <c r="I947"/>
      <c r="J947"/>
      <c r="K947"/>
      <c r="L947"/>
    </row>
    <row r="948" spans="1:12">
      <c r="A948"/>
      <c r="B948"/>
      <c r="C948"/>
      <c r="D948"/>
      <c r="E948"/>
      <c r="F948"/>
      <c r="G948"/>
      <c r="H948"/>
      <c r="I948"/>
      <c r="J948"/>
      <c r="K948"/>
      <c r="L948"/>
    </row>
    <row r="949" spans="1:12">
      <c r="A949"/>
      <c r="B949"/>
      <c r="C949"/>
      <c r="D949"/>
      <c r="E949"/>
      <c r="F949"/>
      <c r="G949"/>
      <c r="H949"/>
      <c r="I949"/>
      <c r="J949"/>
      <c r="K949"/>
      <c r="L949"/>
    </row>
    <row r="950" spans="1:12">
      <c r="A950"/>
      <c r="B950"/>
      <c r="C950"/>
      <c r="D950"/>
      <c r="E950"/>
      <c r="F950"/>
      <c r="G950"/>
      <c r="H950"/>
      <c r="I950"/>
      <c r="J950"/>
      <c r="K950"/>
      <c r="L950"/>
    </row>
    <row r="951" spans="1:12">
      <c r="A951"/>
      <c r="B951"/>
      <c r="C951"/>
      <c r="D951"/>
      <c r="E951"/>
      <c r="F951"/>
      <c r="G951"/>
      <c r="H951"/>
      <c r="I951"/>
      <c r="J951"/>
      <c r="K951"/>
      <c r="L951"/>
    </row>
    <row r="952" spans="1:12">
      <c r="A952"/>
      <c r="B952"/>
      <c r="C952"/>
      <c r="D952"/>
      <c r="E952"/>
      <c r="F952"/>
      <c r="G952"/>
      <c r="H952"/>
      <c r="I952"/>
      <c r="J952"/>
      <c r="K952"/>
      <c r="L952"/>
    </row>
    <row r="953" spans="1:12">
      <c r="A953"/>
      <c r="B953"/>
      <c r="C953"/>
      <c r="D953"/>
      <c r="E953"/>
      <c r="F953"/>
      <c r="G953"/>
      <c r="H953"/>
      <c r="I953"/>
      <c r="J953"/>
      <c r="K953"/>
      <c r="L953"/>
    </row>
    <row r="954" spans="1:12">
      <c r="A954"/>
      <c r="B954"/>
      <c r="C954"/>
      <c r="D954"/>
      <c r="E954"/>
      <c r="F954"/>
      <c r="G954"/>
      <c r="H954"/>
      <c r="I954"/>
      <c r="J954"/>
      <c r="K954"/>
      <c r="L954"/>
    </row>
    <row r="955" spans="1:12">
      <c r="A955"/>
      <c r="B955"/>
      <c r="C955"/>
      <c r="D955"/>
      <c r="E955"/>
      <c r="F955"/>
      <c r="G955"/>
      <c r="H955"/>
      <c r="I955"/>
      <c r="J955"/>
      <c r="K955"/>
      <c r="L955"/>
    </row>
    <row r="956" spans="1:12">
      <c r="A956"/>
      <c r="B956"/>
      <c r="C956"/>
      <c r="D956"/>
      <c r="E956"/>
      <c r="F956"/>
      <c r="G956"/>
      <c r="H956"/>
      <c r="I956"/>
      <c r="J956"/>
      <c r="K956"/>
      <c r="L956"/>
    </row>
    <row r="957" spans="1:12">
      <c r="A957"/>
      <c r="B957"/>
      <c r="C957"/>
      <c r="D957"/>
      <c r="E957"/>
      <c r="F957"/>
      <c r="G957"/>
      <c r="H957"/>
      <c r="I957"/>
      <c r="J957"/>
      <c r="K957"/>
      <c r="L957"/>
    </row>
    <row r="958" spans="1:12">
      <c r="A958"/>
      <c r="B958"/>
      <c r="C958"/>
      <c r="D958"/>
      <c r="E958"/>
      <c r="F958"/>
      <c r="G958"/>
      <c r="H958"/>
      <c r="I958"/>
      <c r="J958"/>
      <c r="K958"/>
      <c r="L958"/>
    </row>
    <row r="959" spans="1:12">
      <c r="A959"/>
      <c r="B959"/>
      <c r="C959"/>
      <c r="D959"/>
      <c r="E959"/>
      <c r="F959"/>
      <c r="G959"/>
      <c r="H959"/>
      <c r="I959"/>
      <c r="J959"/>
      <c r="K959"/>
      <c r="L959"/>
    </row>
    <row r="960" spans="1:12">
      <c r="A960"/>
      <c r="B960"/>
      <c r="C960"/>
      <c r="D960"/>
      <c r="E960"/>
      <c r="F960"/>
      <c r="G960"/>
      <c r="H960"/>
      <c r="I960"/>
      <c r="J960"/>
      <c r="K960"/>
      <c r="L960"/>
    </row>
    <row r="961" spans="1:12">
      <c r="A961"/>
      <c r="B961"/>
      <c r="C961"/>
      <c r="D961"/>
      <c r="E961"/>
      <c r="F961"/>
      <c r="G961"/>
      <c r="H961"/>
      <c r="I961"/>
      <c r="J961"/>
      <c r="K961"/>
      <c r="L961"/>
    </row>
    <row r="962" spans="1:12">
      <c r="A962"/>
      <c r="B962"/>
      <c r="C962"/>
      <c r="D962"/>
      <c r="E962"/>
      <c r="F962"/>
      <c r="G962"/>
      <c r="H962"/>
      <c r="I962"/>
      <c r="J962"/>
      <c r="K962"/>
      <c r="L962"/>
    </row>
    <row r="963" spans="1:12">
      <c r="A963"/>
      <c r="B963"/>
      <c r="C963"/>
      <c r="D963"/>
      <c r="E963"/>
      <c r="F963"/>
      <c r="G963"/>
      <c r="H963"/>
      <c r="I963"/>
      <c r="J963"/>
      <c r="K963"/>
      <c r="L963"/>
    </row>
    <row r="964" spans="1:12">
      <c r="A964"/>
      <c r="B964"/>
      <c r="C964"/>
      <c r="D964"/>
      <c r="E964"/>
      <c r="F964"/>
      <c r="G964"/>
      <c r="H964"/>
      <c r="I964"/>
      <c r="J964"/>
      <c r="K964"/>
      <c r="L964"/>
    </row>
    <row r="965" spans="1:12">
      <c r="A965"/>
      <c r="B965"/>
      <c r="C965"/>
      <c r="D965"/>
      <c r="E965"/>
      <c r="F965"/>
      <c r="G965"/>
      <c r="H965"/>
      <c r="I965"/>
      <c r="J965"/>
      <c r="K965"/>
      <c r="L965"/>
    </row>
    <row r="966" spans="1:12">
      <c r="A966"/>
      <c r="B966"/>
      <c r="C966"/>
      <c r="D966"/>
      <c r="E966"/>
      <c r="F966"/>
      <c r="G966"/>
      <c r="H966"/>
      <c r="I966"/>
      <c r="J966"/>
      <c r="K966"/>
      <c r="L966"/>
    </row>
    <row r="967" spans="1:12">
      <c r="A967"/>
      <c r="B967"/>
      <c r="C967"/>
      <c r="D967"/>
      <c r="E967"/>
      <c r="F967"/>
      <c r="G967"/>
      <c r="H967"/>
      <c r="I967"/>
      <c r="J967"/>
      <c r="K967"/>
      <c r="L967"/>
    </row>
    <row r="968" spans="1:12">
      <c r="A968"/>
      <c r="B968"/>
      <c r="C968"/>
      <c r="D968"/>
      <c r="E968"/>
      <c r="F968"/>
      <c r="G968"/>
      <c r="H968"/>
      <c r="I968"/>
      <c r="J968"/>
      <c r="K968"/>
      <c r="L968"/>
    </row>
    <row r="969" spans="1:12">
      <c r="A969"/>
      <c r="B969"/>
      <c r="C969"/>
      <c r="D969"/>
      <c r="E969"/>
      <c r="F969"/>
      <c r="G969"/>
      <c r="H969"/>
      <c r="I969"/>
      <c r="J969"/>
      <c r="K969"/>
      <c r="L969"/>
    </row>
    <row r="970" spans="1:12">
      <c r="A970"/>
      <c r="B970"/>
      <c r="C970"/>
      <c r="D970"/>
      <c r="E970"/>
      <c r="F970"/>
      <c r="G970"/>
      <c r="H970"/>
      <c r="I970"/>
      <c r="J970"/>
      <c r="K970"/>
      <c r="L970"/>
    </row>
    <row r="971" spans="1:12">
      <c r="A971"/>
      <c r="B971"/>
      <c r="C971"/>
      <c r="D971"/>
      <c r="E971"/>
      <c r="F971"/>
      <c r="G971"/>
      <c r="H971"/>
      <c r="I971"/>
      <c r="J971"/>
      <c r="K971"/>
      <c r="L971"/>
    </row>
    <row r="972" spans="1:12">
      <c r="A972"/>
      <c r="B972"/>
      <c r="C972"/>
      <c r="D972"/>
      <c r="E972"/>
      <c r="F972"/>
      <c r="G972"/>
      <c r="H972"/>
      <c r="I972"/>
      <c r="J972"/>
      <c r="K972"/>
      <c r="L972"/>
    </row>
    <row r="973" spans="1:12">
      <c r="A973"/>
      <c r="B973"/>
      <c r="C973"/>
      <c r="D973"/>
      <c r="E973"/>
      <c r="F973"/>
      <c r="G973"/>
      <c r="H973"/>
      <c r="I973"/>
      <c r="J973"/>
      <c r="K973"/>
      <c r="L973"/>
    </row>
    <row r="974" spans="1:12">
      <c r="A974"/>
      <c r="B974"/>
      <c r="C974"/>
      <c r="D974"/>
      <c r="E974"/>
      <c r="F974"/>
      <c r="G974"/>
      <c r="H974"/>
      <c r="I974"/>
      <c r="J974"/>
      <c r="K974"/>
      <c r="L974"/>
    </row>
    <row r="975" spans="1:12">
      <c r="A975"/>
      <c r="B975"/>
      <c r="C975"/>
      <c r="D975"/>
      <c r="E975"/>
      <c r="F975"/>
      <c r="G975"/>
      <c r="H975"/>
      <c r="I975"/>
      <c r="J975"/>
      <c r="K975"/>
      <c r="L975"/>
    </row>
    <row r="976" spans="1:12">
      <c r="A976"/>
      <c r="B976"/>
      <c r="C976"/>
      <c r="D976"/>
      <c r="E976"/>
      <c r="F976"/>
      <c r="G976"/>
      <c r="H976"/>
      <c r="I976"/>
      <c r="J976"/>
      <c r="K976"/>
      <c r="L976"/>
    </row>
    <row r="977" spans="1:12">
      <c r="A977"/>
      <c r="B977"/>
      <c r="C977"/>
      <c r="D977"/>
      <c r="E977"/>
      <c r="F977"/>
      <c r="G977"/>
      <c r="H977"/>
      <c r="I977"/>
      <c r="J977"/>
      <c r="K977"/>
      <c r="L977"/>
    </row>
    <row r="978" spans="1:12">
      <c r="A978"/>
      <c r="B978"/>
      <c r="C978"/>
      <c r="D978"/>
      <c r="E978"/>
      <c r="F978"/>
      <c r="G978"/>
      <c r="H978"/>
      <c r="I978"/>
      <c r="J978"/>
      <c r="K978"/>
      <c r="L978"/>
    </row>
    <row r="979" spans="1:12">
      <c r="A979"/>
      <c r="B979"/>
      <c r="C979"/>
      <c r="D979"/>
      <c r="E979"/>
      <c r="F979"/>
      <c r="G979"/>
      <c r="H979"/>
      <c r="I979"/>
      <c r="J979"/>
      <c r="K979"/>
      <c r="L979"/>
    </row>
    <row r="980" spans="1:12">
      <c r="A980"/>
      <c r="B980"/>
      <c r="C980"/>
      <c r="D980"/>
      <c r="E980"/>
      <c r="F980"/>
      <c r="G980"/>
      <c r="H980"/>
      <c r="I980"/>
      <c r="J980"/>
      <c r="K980"/>
      <c r="L980"/>
    </row>
    <row r="981" spans="1:12">
      <c r="A981"/>
      <c r="B981"/>
      <c r="C981"/>
      <c r="D981"/>
      <c r="E981"/>
      <c r="F981"/>
      <c r="G981"/>
      <c r="H981"/>
      <c r="I981"/>
      <c r="J981"/>
      <c r="K981"/>
      <c r="L981"/>
    </row>
    <row r="982" spans="1:12">
      <c r="A982"/>
      <c r="B982"/>
      <c r="C982"/>
      <c r="D982"/>
      <c r="E982"/>
      <c r="F982"/>
      <c r="G982"/>
      <c r="H982"/>
      <c r="I982"/>
      <c r="J982"/>
      <c r="K982"/>
      <c r="L982"/>
    </row>
    <row r="983" spans="1:12">
      <c r="A983"/>
      <c r="B983"/>
      <c r="C983"/>
      <c r="D983"/>
      <c r="E983"/>
      <c r="F983"/>
      <c r="G983"/>
      <c r="H983"/>
      <c r="I983"/>
      <c r="J983"/>
      <c r="K983"/>
      <c r="L983"/>
    </row>
    <row r="984" spans="1:12">
      <c r="A984"/>
      <c r="B984"/>
      <c r="C984"/>
      <c r="D984"/>
      <c r="E984"/>
      <c r="F984"/>
      <c r="G984"/>
      <c r="H984"/>
      <c r="I984"/>
      <c r="J984"/>
      <c r="K984"/>
      <c r="L984"/>
    </row>
    <row r="985" spans="1:12">
      <c r="A985"/>
      <c r="B985"/>
      <c r="C985"/>
      <c r="D985"/>
      <c r="E985"/>
      <c r="F985"/>
      <c r="G985"/>
      <c r="H985"/>
      <c r="I985"/>
      <c r="J985"/>
      <c r="K985"/>
      <c r="L985"/>
    </row>
    <row r="986" spans="1:12">
      <c r="A986"/>
      <c r="B986"/>
      <c r="C986"/>
      <c r="D986"/>
      <c r="E986"/>
      <c r="F986"/>
      <c r="G986"/>
      <c r="H986"/>
      <c r="I986"/>
      <c r="J986"/>
      <c r="K986"/>
      <c r="L986"/>
    </row>
    <row r="987" spans="1:12">
      <c r="A987"/>
      <c r="B987"/>
      <c r="C987"/>
      <c r="D987"/>
      <c r="E987"/>
      <c r="F987"/>
      <c r="G987"/>
      <c r="H987"/>
      <c r="I987"/>
      <c r="J987"/>
      <c r="K987"/>
      <c r="L987"/>
    </row>
    <row r="988" spans="1:12">
      <c r="A988"/>
      <c r="B988"/>
      <c r="C988"/>
      <c r="D988"/>
      <c r="E988"/>
      <c r="F988"/>
      <c r="G988"/>
      <c r="H988"/>
      <c r="I988"/>
      <c r="J988"/>
      <c r="K988"/>
      <c r="L988"/>
    </row>
    <row r="989" spans="1:12">
      <c r="A989"/>
      <c r="B989"/>
      <c r="C989"/>
      <c r="D989"/>
      <c r="E989"/>
      <c r="F989"/>
      <c r="G989"/>
      <c r="H989"/>
      <c r="I989"/>
      <c r="J989"/>
      <c r="K989"/>
      <c r="L989"/>
    </row>
    <row r="990" spans="1:12">
      <c r="A990"/>
      <c r="B990"/>
      <c r="C990"/>
      <c r="D990"/>
      <c r="E990"/>
      <c r="F990"/>
      <c r="G990"/>
      <c r="H990"/>
      <c r="I990"/>
      <c r="J990"/>
      <c r="K990"/>
      <c r="L990"/>
    </row>
    <row r="991" spans="1:12">
      <c r="A991"/>
      <c r="B991"/>
      <c r="C991"/>
      <c r="D991"/>
      <c r="E991"/>
      <c r="F991"/>
      <c r="G991"/>
      <c r="H991"/>
      <c r="I991"/>
      <c r="J991"/>
      <c r="K991"/>
      <c r="L991"/>
    </row>
    <row r="992" spans="1:12">
      <c r="A992"/>
      <c r="B992"/>
      <c r="C992"/>
      <c r="D992"/>
      <c r="E992"/>
      <c r="F992"/>
      <c r="G992"/>
      <c r="H992"/>
      <c r="I992"/>
      <c r="J992"/>
      <c r="K992"/>
      <c r="L992"/>
    </row>
    <row r="993" spans="1:12">
      <c r="A993"/>
      <c r="B993"/>
      <c r="C993"/>
      <c r="D993"/>
      <c r="E993"/>
      <c r="F993"/>
      <c r="G993"/>
      <c r="H993"/>
      <c r="I993"/>
      <c r="J993"/>
      <c r="K993"/>
      <c r="L993"/>
    </row>
    <row r="994" spans="1:12">
      <c r="A994"/>
      <c r="B994"/>
      <c r="C994"/>
      <c r="D994"/>
      <c r="E994"/>
      <c r="F994"/>
      <c r="G994"/>
      <c r="H994"/>
      <c r="I994"/>
      <c r="J994"/>
      <c r="K994"/>
      <c r="L994"/>
    </row>
    <row r="995" spans="1:12">
      <c r="A995"/>
      <c r="B995"/>
      <c r="C995"/>
      <c r="D995"/>
      <c r="E995"/>
      <c r="F995"/>
      <c r="G995"/>
      <c r="H995"/>
      <c r="I995"/>
      <c r="J995"/>
      <c r="K995"/>
      <c r="L995"/>
    </row>
    <row r="996" spans="1:12">
      <c r="A996"/>
      <c r="B996"/>
      <c r="C996"/>
      <c r="D996"/>
      <c r="E996"/>
      <c r="F996"/>
      <c r="G996"/>
      <c r="H996"/>
      <c r="I996"/>
      <c r="J996"/>
      <c r="K996"/>
      <c r="L996"/>
    </row>
    <row r="997" spans="1:12">
      <c r="A997"/>
      <c r="B997"/>
      <c r="C997"/>
      <c r="D997"/>
      <c r="E997"/>
      <c r="F997"/>
      <c r="G997"/>
      <c r="H997"/>
      <c r="I997"/>
      <c r="J997"/>
      <c r="K997"/>
      <c r="L997"/>
    </row>
    <row r="998" spans="1:12">
      <c r="A998"/>
      <c r="B998"/>
      <c r="C998"/>
      <c r="D998"/>
      <c r="E998"/>
      <c r="F998"/>
      <c r="G998"/>
      <c r="H998"/>
      <c r="I998"/>
      <c r="J998"/>
      <c r="K998"/>
      <c r="L998"/>
    </row>
    <row r="999" spans="1:12">
      <c r="A999"/>
      <c r="B999"/>
      <c r="C999"/>
      <c r="D999"/>
      <c r="E999"/>
      <c r="F999"/>
      <c r="G999"/>
      <c r="H999"/>
      <c r="I999"/>
      <c r="J999"/>
      <c r="K999"/>
      <c r="L999"/>
    </row>
    <row r="1000" spans="1:12">
      <c r="A1000"/>
      <c r="B1000"/>
      <c r="C1000"/>
      <c r="D1000"/>
      <c r="E1000"/>
      <c r="F1000"/>
      <c r="G1000"/>
      <c r="H1000"/>
      <c r="I1000"/>
      <c r="J1000"/>
      <c r="K1000"/>
      <c r="L1000"/>
    </row>
    <row r="1001" spans="1:12">
      <c r="A1001"/>
      <c r="B1001"/>
      <c r="C1001"/>
      <c r="D1001"/>
      <c r="E1001"/>
      <c r="F1001"/>
      <c r="G1001"/>
      <c r="H1001"/>
      <c r="I1001"/>
      <c r="J1001"/>
      <c r="K1001"/>
      <c r="L1001"/>
    </row>
    <row r="1002" spans="1:12">
      <c r="A1002"/>
      <c r="B1002"/>
      <c r="C1002"/>
      <c r="D1002"/>
      <c r="E1002"/>
      <c r="F1002"/>
      <c r="G1002"/>
      <c r="H1002"/>
      <c r="I1002"/>
      <c r="J1002"/>
      <c r="K1002"/>
      <c r="L1002"/>
    </row>
    <row r="1003" spans="1:12">
      <c r="A1003"/>
      <c r="B1003"/>
      <c r="C1003"/>
      <c r="D1003"/>
      <c r="E1003"/>
      <c r="F1003"/>
      <c r="G1003"/>
      <c r="H1003"/>
      <c r="I1003"/>
      <c r="J1003"/>
      <c r="K1003"/>
      <c r="L1003"/>
    </row>
    <row r="1004" spans="1:12">
      <c r="A1004"/>
      <c r="B1004"/>
      <c r="C1004"/>
      <c r="D1004"/>
      <c r="E1004"/>
      <c r="F1004"/>
      <c r="G1004"/>
      <c r="H1004"/>
      <c r="I1004"/>
      <c r="J1004"/>
      <c r="K1004"/>
      <c r="L1004"/>
    </row>
    <row r="1005" spans="1:12">
      <c r="A1005"/>
      <c r="B1005"/>
      <c r="C1005"/>
      <c r="D1005"/>
      <c r="E1005"/>
      <c r="F1005"/>
      <c r="G1005"/>
      <c r="H1005"/>
      <c r="I1005"/>
      <c r="J1005"/>
      <c r="K1005"/>
      <c r="L1005"/>
    </row>
    <row r="1006" spans="1:12">
      <c r="A1006"/>
      <c r="B1006"/>
      <c r="C1006"/>
      <c r="D1006"/>
      <c r="E1006"/>
      <c r="F1006"/>
      <c r="G1006"/>
      <c r="H1006"/>
      <c r="I1006"/>
      <c r="J1006"/>
      <c r="K1006"/>
      <c r="L1006"/>
    </row>
    <row r="1007" spans="1:12">
      <c r="A1007"/>
      <c r="B1007"/>
      <c r="C1007"/>
      <c r="D1007"/>
      <c r="E1007"/>
      <c r="F1007"/>
      <c r="G1007"/>
      <c r="H1007"/>
      <c r="I1007"/>
      <c r="J1007"/>
      <c r="K1007"/>
      <c r="L1007"/>
    </row>
    <row r="1008" spans="1:12">
      <c r="A1008"/>
      <c r="B1008"/>
      <c r="C1008"/>
      <c r="D1008"/>
      <c r="E1008"/>
      <c r="F1008"/>
      <c r="G1008"/>
      <c r="H1008"/>
      <c r="I1008"/>
      <c r="J1008"/>
      <c r="K1008"/>
      <c r="L1008"/>
    </row>
    <row r="1009" spans="1:12">
      <c r="A1009"/>
      <c r="B1009"/>
      <c r="C1009"/>
      <c r="D1009"/>
      <c r="E1009"/>
      <c r="F1009"/>
      <c r="G1009"/>
      <c r="H1009"/>
      <c r="I1009"/>
      <c r="J1009"/>
      <c r="K1009"/>
      <c r="L1009"/>
    </row>
    <row r="1010" spans="1:12">
      <c r="A1010"/>
      <c r="B1010"/>
      <c r="C1010"/>
      <c r="D1010"/>
      <c r="E1010"/>
      <c r="F1010"/>
      <c r="G1010"/>
      <c r="H1010"/>
      <c r="I1010"/>
      <c r="J1010"/>
      <c r="K1010"/>
      <c r="L1010"/>
    </row>
    <row r="1011" spans="1:12">
      <c r="A1011"/>
      <c r="B1011"/>
      <c r="C1011"/>
      <c r="D1011"/>
      <c r="E1011"/>
      <c r="F1011"/>
      <c r="G1011"/>
      <c r="H1011"/>
      <c r="I1011"/>
      <c r="J1011"/>
      <c r="K1011"/>
      <c r="L1011"/>
    </row>
    <row r="1012" spans="1:12">
      <c r="A1012"/>
      <c r="B1012"/>
      <c r="C1012"/>
      <c r="D1012"/>
      <c r="E1012"/>
      <c r="F1012"/>
      <c r="G1012"/>
      <c r="H1012"/>
      <c r="I1012"/>
      <c r="J1012"/>
      <c r="K1012"/>
      <c r="L1012"/>
    </row>
    <row r="1013" spans="1:12">
      <c r="A1013"/>
      <c r="B1013"/>
      <c r="C1013"/>
      <c r="D1013"/>
      <c r="E1013"/>
      <c r="F1013"/>
      <c r="G1013"/>
      <c r="H1013"/>
      <c r="I1013"/>
      <c r="J1013"/>
      <c r="K1013"/>
      <c r="L1013"/>
    </row>
    <row r="1014" spans="1:12">
      <c r="A1014"/>
      <c r="B1014"/>
      <c r="C1014"/>
      <c r="D1014"/>
      <c r="E1014"/>
      <c r="F1014"/>
      <c r="G1014"/>
      <c r="H1014"/>
      <c r="I1014"/>
      <c r="J1014"/>
      <c r="K1014"/>
      <c r="L1014"/>
    </row>
    <row r="1015" spans="1:12">
      <c r="A1015"/>
      <c r="B1015"/>
      <c r="C1015"/>
      <c r="D1015"/>
      <c r="E1015"/>
      <c r="F1015"/>
      <c r="G1015"/>
      <c r="H1015"/>
      <c r="I1015"/>
      <c r="J1015"/>
      <c r="K1015"/>
      <c r="L1015"/>
    </row>
    <row r="1016" spans="1:12">
      <c r="A1016"/>
      <c r="B1016"/>
      <c r="C1016"/>
      <c r="D1016"/>
      <c r="E1016"/>
      <c r="F1016"/>
      <c r="G1016"/>
      <c r="H1016"/>
      <c r="I1016"/>
      <c r="J1016"/>
      <c r="K1016"/>
      <c r="L1016"/>
    </row>
    <row r="1017" spans="1:12">
      <c r="A1017"/>
      <c r="B1017"/>
      <c r="C1017"/>
      <c r="D1017"/>
      <c r="E1017"/>
      <c r="F1017"/>
      <c r="G1017"/>
      <c r="H1017"/>
      <c r="I1017"/>
      <c r="J1017"/>
      <c r="K1017"/>
      <c r="L1017"/>
    </row>
    <row r="1018" spans="1:12">
      <c r="A1018"/>
      <c r="B1018"/>
      <c r="C1018"/>
      <c r="D1018"/>
      <c r="E1018"/>
      <c r="F1018"/>
      <c r="G1018"/>
      <c r="H1018"/>
      <c r="I1018"/>
      <c r="J1018"/>
      <c r="K1018"/>
      <c r="L1018"/>
    </row>
    <row r="1019" spans="1:12">
      <c r="A1019"/>
      <c r="B1019"/>
      <c r="C1019"/>
      <c r="D1019"/>
      <c r="E1019"/>
      <c r="F1019"/>
      <c r="G1019"/>
      <c r="H1019"/>
      <c r="I1019"/>
      <c r="J1019"/>
      <c r="K1019"/>
      <c r="L1019"/>
    </row>
    <row r="1020" spans="1:12">
      <c r="A1020"/>
      <c r="B1020"/>
      <c r="C1020"/>
      <c r="D1020"/>
      <c r="E1020"/>
      <c r="F1020"/>
      <c r="G1020"/>
      <c r="H1020"/>
      <c r="I1020"/>
      <c r="J1020"/>
      <c r="K1020"/>
      <c r="L1020"/>
    </row>
    <row r="1021" spans="1:12">
      <c r="A1021"/>
      <c r="B1021"/>
      <c r="C1021"/>
      <c r="D1021"/>
      <c r="E1021"/>
      <c r="F1021"/>
      <c r="G1021"/>
      <c r="H1021"/>
      <c r="I1021"/>
      <c r="J1021"/>
      <c r="K1021"/>
      <c r="L1021"/>
    </row>
    <row r="1022" spans="1:12">
      <c r="A1022"/>
      <c r="B1022"/>
      <c r="C1022"/>
      <c r="D1022"/>
      <c r="E1022"/>
      <c r="F1022"/>
      <c r="G1022"/>
      <c r="H1022"/>
      <c r="I1022"/>
      <c r="J1022"/>
      <c r="K1022"/>
      <c r="L1022"/>
    </row>
    <row r="1023" spans="1:12">
      <c r="A1023"/>
      <c r="B1023"/>
      <c r="C1023"/>
      <c r="D1023"/>
      <c r="E1023"/>
      <c r="F1023"/>
      <c r="G1023"/>
      <c r="H1023"/>
      <c r="I1023"/>
      <c r="J1023"/>
      <c r="K1023"/>
      <c r="L1023"/>
    </row>
    <row r="1024" spans="1:12">
      <c r="A1024"/>
      <c r="B1024"/>
      <c r="C1024"/>
      <c r="D1024"/>
      <c r="E1024"/>
      <c r="F1024"/>
      <c r="G1024"/>
      <c r="H1024"/>
      <c r="I1024"/>
      <c r="J1024"/>
      <c r="K1024"/>
      <c r="L1024"/>
    </row>
    <row r="1025" spans="1:12">
      <c r="A1025"/>
      <c r="B1025"/>
      <c r="C1025"/>
      <c r="D1025"/>
      <c r="E1025"/>
      <c r="F1025"/>
      <c r="G1025"/>
      <c r="H1025"/>
      <c r="I1025"/>
      <c r="J1025"/>
      <c r="K1025"/>
      <c r="L1025"/>
    </row>
    <row r="1026" spans="1:12">
      <c r="A1026"/>
      <c r="B1026"/>
      <c r="C1026"/>
      <c r="D1026"/>
      <c r="E1026"/>
      <c r="F1026"/>
      <c r="G1026"/>
      <c r="H1026"/>
      <c r="I1026"/>
      <c r="J1026"/>
      <c r="K1026"/>
      <c r="L1026"/>
    </row>
    <row r="1027" spans="1:12">
      <c r="A1027"/>
      <c r="B1027"/>
      <c r="C1027"/>
      <c r="D1027"/>
      <c r="E1027"/>
      <c r="F1027"/>
      <c r="G1027"/>
      <c r="H1027"/>
      <c r="I1027"/>
      <c r="J1027"/>
      <c r="K1027"/>
      <c r="L1027"/>
    </row>
    <row r="1028" spans="1:12">
      <c r="A1028"/>
      <c r="B1028"/>
      <c r="C1028"/>
      <c r="D1028"/>
      <c r="E1028"/>
      <c r="F1028"/>
      <c r="G1028"/>
      <c r="H1028"/>
      <c r="I1028"/>
      <c r="J1028"/>
      <c r="K1028"/>
      <c r="L1028"/>
    </row>
    <row r="1029" spans="1:12">
      <c r="A1029"/>
      <c r="B1029"/>
      <c r="C1029"/>
      <c r="D1029"/>
      <c r="E1029"/>
      <c r="F1029"/>
      <c r="G1029"/>
      <c r="H1029"/>
      <c r="I1029"/>
      <c r="J1029"/>
      <c r="K1029"/>
      <c r="L1029"/>
    </row>
    <row r="1030" spans="1:12">
      <c r="A1030"/>
      <c r="B1030"/>
      <c r="C1030"/>
      <c r="D1030"/>
      <c r="E1030"/>
      <c r="F1030"/>
      <c r="G1030"/>
      <c r="H1030"/>
      <c r="I1030"/>
      <c r="J1030"/>
      <c r="K1030"/>
      <c r="L1030"/>
    </row>
    <row r="1031" spans="1:12">
      <c r="A1031"/>
      <c r="B1031"/>
      <c r="C1031"/>
      <c r="D1031"/>
      <c r="E1031"/>
      <c r="F1031"/>
      <c r="G1031"/>
      <c r="H1031"/>
      <c r="I1031"/>
      <c r="J1031"/>
      <c r="K1031"/>
      <c r="L1031"/>
    </row>
    <row r="1032" spans="1:12">
      <c r="A1032"/>
      <c r="B1032"/>
      <c r="C1032"/>
      <c r="D1032"/>
      <c r="E1032"/>
      <c r="F1032"/>
      <c r="G1032"/>
      <c r="H1032"/>
      <c r="I1032"/>
      <c r="J1032"/>
      <c r="K1032"/>
      <c r="L1032"/>
    </row>
    <row r="1033" spans="1:12">
      <c r="A1033"/>
      <c r="B1033"/>
      <c r="C1033"/>
      <c r="D1033"/>
      <c r="E1033"/>
      <c r="F1033"/>
      <c r="G1033"/>
      <c r="H1033"/>
      <c r="I1033"/>
      <c r="J1033"/>
      <c r="K1033"/>
      <c r="L1033"/>
    </row>
    <row r="1034" spans="1:12">
      <c r="A1034"/>
      <c r="B1034"/>
      <c r="C1034"/>
      <c r="D1034"/>
      <c r="E1034"/>
      <c r="F1034"/>
      <c r="G1034"/>
      <c r="H1034"/>
      <c r="I1034"/>
      <c r="J1034"/>
      <c r="K1034"/>
      <c r="L1034"/>
    </row>
    <row r="1035" spans="1:12">
      <c r="A1035"/>
      <c r="B1035"/>
      <c r="C1035"/>
      <c r="D1035"/>
      <c r="E1035"/>
      <c r="F1035"/>
      <c r="G1035"/>
      <c r="H1035"/>
      <c r="I1035"/>
      <c r="J1035"/>
      <c r="K1035"/>
      <c r="L1035"/>
    </row>
    <row r="1036" spans="1:12">
      <c r="A1036"/>
      <c r="B1036"/>
      <c r="C1036"/>
      <c r="D1036"/>
      <c r="E1036"/>
      <c r="F1036"/>
      <c r="G1036"/>
      <c r="H1036"/>
      <c r="I1036"/>
      <c r="J1036"/>
      <c r="K1036"/>
      <c r="L1036"/>
    </row>
    <row r="1037" spans="1:12">
      <c r="A1037"/>
      <c r="B1037"/>
      <c r="C1037"/>
      <c r="D1037"/>
      <c r="E1037"/>
      <c r="F1037"/>
      <c r="G1037"/>
      <c r="H1037"/>
      <c r="I1037"/>
      <c r="J1037"/>
      <c r="K1037"/>
      <c r="L1037"/>
    </row>
    <row r="1038" spans="1:12">
      <c r="A1038"/>
      <c r="B1038"/>
      <c r="C1038"/>
      <c r="D1038"/>
      <c r="E1038"/>
      <c r="F1038"/>
      <c r="G1038"/>
      <c r="H1038"/>
      <c r="I1038"/>
      <c r="J1038"/>
      <c r="K1038"/>
      <c r="L1038"/>
    </row>
    <row r="1039" spans="1:12">
      <c r="A1039"/>
      <c r="B1039"/>
      <c r="C1039"/>
      <c r="D1039"/>
      <c r="E1039"/>
      <c r="F1039"/>
      <c r="G1039"/>
      <c r="H1039"/>
      <c r="I1039"/>
      <c r="J1039"/>
      <c r="K1039"/>
      <c r="L1039"/>
    </row>
    <row r="1040" spans="1:12">
      <c r="A1040"/>
      <c r="B1040"/>
      <c r="C1040"/>
      <c r="D1040"/>
      <c r="E1040"/>
      <c r="F1040"/>
      <c r="G1040"/>
      <c r="H1040"/>
      <c r="I1040"/>
      <c r="J1040"/>
      <c r="K1040"/>
      <c r="L1040"/>
    </row>
    <row r="1041" spans="1:12">
      <c r="A1041"/>
      <c r="B1041"/>
      <c r="C1041"/>
      <c r="D1041"/>
      <c r="E1041"/>
      <c r="F1041"/>
      <c r="G1041"/>
      <c r="H1041"/>
      <c r="I1041"/>
      <c r="J1041"/>
      <c r="K1041"/>
      <c r="L1041"/>
    </row>
    <row r="1042" spans="1:12">
      <c r="A1042"/>
      <c r="B1042"/>
      <c r="C1042"/>
      <c r="D1042"/>
      <c r="E1042"/>
      <c r="F1042"/>
      <c r="G1042"/>
      <c r="H1042"/>
      <c r="I1042"/>
      <c r="J1042"/>
      <c r="K1042"/>
      <c r="L1042"/>
    </row>
    <row r="1043" spans="1:12">
      <c r="A1043"/>
      <c r="B1043"/>
      <c r="C1043"/>
      <c r="D1043"/>
      <c r="E1043"/>
      <c r="F1043"/>
      <c r="G1043"/>
      <c r="H1043"/>
      <c r="I1043"/>
      <c r="J1043"/>
      <c r="K1043"/>
      <c r="L1043"/>
    </row>
    <row r="1044" spans="1:12">
      <c r="A1044"/>
      <c r="B1044"/>
      <c r="C1044"/>
      <c r="D1044"/>
      <c r="E1044"/>
      <c r="F1044"/>
      <c r="G1044"/>
      <c r="H1044"/>
      <c r="I1044"/>
      <c r="J1044"/>
      <c r="K1044"/>
      <c r="L1044"/>
    </row>
    <row r="1045" spans="1:12">
      <c r="A1045"/>
      <c r="B1045"/>
      <c r="C1045"/>
      <c r="D1045"/>
      <c r="E1045"/>
      <c r="F1045"/>
      <c r="G1045"/>
      <c r="H1045"/>
      <c r="I1045"/>
      <c r="J1045"/>
      <c r="K1045"/>
      <c r="L1045"/>
    </row>
    <row r="1046" spans="1:12">
      <c r="A1046"/>
      <c r="B1046"/>
      <c r="C1046"/>
      <c r="D1046"/>
      <c r="E1046"/>
      <c r="F1046"/>
      <c r="G1046"/>
      <c r="H1046"/>
      <c r="I1046"/>
      <c r="J1046"/>
      <c r="K1046"/>
      <c r="L1046"/>
    </row>
    <row r="1047" spans="1:12">
      <c r="A1047"/>
      <c r="B1047"/>
      <c r="C1047"/>
      <c r="D1047"/>
      <c r="E1047"/>
      <c r="F1047"/>
      <c r="G1047"/>
      <c r="H1047"/>
      <c r="I1047"/>
      <c r="J1047"/>
      <c r="K1047"/>
      <c r="L1047"/>
    </row>
    <row r="1048" spans="1:12">
      <c r="A1048"/>
      <c r="B1048"/>
      <c r="C1048"/>
      <c r="D1048"/>
      <c r="E1048"/>
      <c r="F1048"/>
      <c r="G1048"/>
      <c r="H1048"/>
      <c r="I1048"/>
      <c r="J1048"/>
      <c r="K1048"/>
      <c r="L1048"/>
    </row>
    <row r="1049" spans="1:12">
      <c r="A1049"/>
      <c r="B1049"/>
      <c r="C1049"/>
      <c r="D1049"/>
      <c r="E1049"/>
      <c r="F1049"/>
      <c r="G1049"/>
      <c r="H1049"/>
      <c r="I1049"/>
      <c r="J1049"/>
      <c r="K1049"/>
      <c r="L1049"/>
    </row>
    <row r="1050" spans="1:12">
      <c r="A1050"/>
      <c r="B1050"/>
      <c r="C1050"/>
      <c r="D1050"/>
      <c r="E1050"/>
      <c r="F1050"/>
      <c r="G1050"/>
      <c r="H1050"/>
      <c r="I1050"/>
      <c r="J1050"/>
      <c r="K1050"/>
      <c r="L1050"/>
    </row>
    <row r="1051" spans="1:12">
      <c r="A1051"/>
      <c r="B1051"/>
      <c r="C1051"/>
      <c r="D1051"/>
      <c r="E1051"/>
      <c r="F1051"/>
      <c r="G1051"/>
      <c r="H1051"/>
      <c r="I1051"/>
      <c r="J1051"/>
      <c r="K1051"/>
      <c r="L1051"/>
    </row>
    <row r="1052" spans="1:12">
      <c r="A1052"/>
      <c r="B1052"/>
      <c r="C1052"/>
      <c r="D1052"/>
      <c r="E1052"/>
      <c r="F1052"/>
      <c r="G1052"/>
      <c r="H1052"/>
      <c r="I1052"/>
      <c r="J1052"/>
      <c r="K1052"/>
      <c r="L1052"/>
    </row>
    <row r="1053" spans="1:12">
      <c r="A1053"/>
      <c r="B1053"/>
      <c r="C1053"/>
      <c r="D1053"/>
      <c r="E1053"/>
      <c r="F1053"/>
      <c r="G1053"/>
      <c r="H1053"/>
      <c r="I1053"/>
      <c r="J1053"/>
      <c r="K1053"/>
      <c r="L1053"/>
    </row>
    <row r="1054" spans="1:12">
      <c r="A1054"/>
      <c r="B1054"/>
      <c r="C1054"/>
      <c r="D1054"/>
      <c r="E1054"/>
      <c r="F1054"/>
      <c r="G1054"/>
      <c r="H1054"/>
      <c r="I1054"/>
      <c r="J1054"/>
      <c r="K1054"/>
      <c r="L1054"/>
    </row>
    <row r="1055" spans="1:12">
      <c r="A1055"/>
      <c r="B1055"/>
      <c r="C1055"/>
      <c r="D1055"/>
      <c r="E1055"/>
      <c r="F1055"/>
      <c r="G1055"/>
      <c r="H1055"/>
      <c r="I1055"/>
      <c r="J1055"/>
      <c r="K1055"/>
      <c r="L1055"/>
    </row>
    <row r="1056" spans="1:12">
      <c r="A1056"/>
      <c r="B1056"/>
      <c r="C1056"/>
      <c r="D1056"/>
      <c r="E1056"/>
      <c r="F1056"/>
      <c r="G1056"/>
      <c r="H1056"/>
      <c r="I1056"/>
      <c r="J1056"/>
      <c r="K1056"/>
      <c r="L1056"/>
    </row>
    <row r="1057" spans="1:12">
      <c r="A1057"/>
      <c r="B1057"/>
      <c r="C1057"/>
      <c r="D1057"/>
      <c r="E1057"/>
      <c r="F1057"/>
      <c r="G1057"/>
      <c r="H1057"/>
      <c r="I1057"/>
      <c r="J1057"/>
      <c r="K1057"/>
      <c r="L1057"/>
    </row>
    <row r="1058" spans="1:12">
      <c r="A1058"/>
      <c r="B1058"/>
      <c r="C1058"/>
      <c r="D1058"/>
      <c r="E1058"/>
      <c r="F1058"/>
      <c r="G1058"/>
      <c r="H1058"/>
      <c r="I1058"/>
      <c r="J1058"/>
      <c r="K1058"/>
      <c r="L1058"/>
    </row>
    <row r="1059" spans="1:12">
      <c r="A1059"/>
      <c r="B1059"/>
      <c r="C1059"/>
      <c r="D1059"/>
      <c r="E1059"/>
      <c r="F1059"/>
      <c r="G1059"/>
      <c r="H1059"/>
      <c r="I1059"/>
      <c r="J1059"/>
      <c r="K1059"/>
      <c r="L1059"/>
    </row>
    <row r="1060" spans="1:12">
      <c r="A1060"/>
      <c r="B1060"/>
      <c r="C1060"/>
      <c r="D1060"/>
      <c r="E1060"/>
      <c r="F1060"/>
      <c r="G1060"/>
      <c r="H1060"/>
      <c r="I1060"/>
      <c r="J1060"/>
      <c r="K1060"/>
      <c r="L1060"/>
    </row>
    <row r="1061" spans="1:12">
      <c r="A1061"/>
      <c r="B1061"/>
      <c r="C1061"/>
      <c r="D1061"/>
      <c r="E1061"/>
      <c r="F1061"/>
      <c r="G1061"/>
      <c r="H1061"/>
      <c r="I1061"/>
      <c r="J1061"/>
      <c r="K1061"/>
      <c r="L1061"/>
    </row>
    <row r="1062" spans="1:12">
      <c r="A1062"/>
      <c r="B1062"/>
      <c r="C1062"/>
      <c r="D1062"/>
      <c r="E1062"/>
      <c r="F1062"/>
      <c r="G1062"/>
      <c r="H1062"/>
      <c r="I1062"/>
      <c r="J1062"/>
      <c r="K1062"/>
      <c r="L1062"/>
    </row>
    <row r="1063" spans="1:12">
      <c r="A1063"/>
      <c r="B1063"/>
      <c r="C1063"/>
      <c r="D1063"/>
      <c r="E1063"/>
      <c r="F1063"/>
      <c r="G1063"/>
      <c r="H1063"/>
      <c r="I1063"/>
      <c r="J1063"/>
      <c r="K1063"/>
      <c r="L1063"/>
    </row>
    <row r="1064" spans="1:12">
      <c r="A1064"/>
      <c r="B1064"/>
      <c r="C1064"/>
      <c r="D1064"/>
      <c r="E1064"/>
      <c r="F1064"/>
      <c r="G1064"/>
      <c r="H1064"/>
      <c r="I1064"/>
      <c r="J1064"/>
      <c r="K1064"/>
      <c r="L1064"/>
    </row>
    <row r="1065" spans="1:12">
      <c r="A1065"/>
      <c r="B1065"/>
      <c r="C1065"/>
      <c r="D1065"/>
      <c r="E1065"/>
      <c r="F1065"/>
      <c r="G1065"/>
      <c r="H1065"/>
      <c r="I1065"/>
      <c r="J1065"/>
      <c r="K1065"/>
      <c r="L1065"/>
    </row>
    <row r="1066" spans="1:12">
      <c r="A1066"/>
      <c r="B1066"/>
      <c r="C1066"/>
      <c r="D1066"/>
      <c r="E1066"/>
      <c r="F1066"/>
      <c r="G1066"/>
      <c r="H1066"/>
      <c r="I1066"/>
      <c r="J1066"/>
      <c r="K1066"/>
      <c r="L1066"/>
    </row>
    <row r="1067" spans="1:12">
      <c r="A1067"/>
      <c r="B1067"/>
      <c r="C1067"/>
      <c r="D1067"/>
      <c r="E1067"/>
      <c r="F1067"/>
      <c r="G1067"/>
      <c r="H1067"/>
      <c r="I1067"/>
      <c r="J1067"/>
      <c r="K1067"/>
      <c r="L1067"/>
    </row>
    <row r="1068" spans="1:12">
      <c r="A1068"/>
      <c r="B1068"/>
      <c r="C1068"/>
      <c r="D1068"/>
      <c r="E1068"/>
      <c r="F1068"/>
      <c r="G1068"/>
      <c r="H1068"/>
      <c r="I1068"/>
      <c r="J1068"/>
      <c r="K1068"/>
      <c r="L1068"/>
    </row>
    <row r="1069" spans="1:12">
      <c r="A1069"/>
      <c r="B1069"/>
      <c r="C1069"/>
      <c r="D1069"/>
      <c r="E1069"/>
      <c r="F1069"/>
      <c r="G1069"/>
      <c r="H1069"/>
      <c r="I1069"/>
      <c r="J1069"/>
      <c r="K1069"/>
      <c r="L1069"/>
    </row>
    <row r="1070" spans="1:12">
      <c r="A1070"/>
      <c r="B1070"/>
      <c r="C1070"/>
      <c r="D1070"/>
      <c r="E1070"/>
      <c r="F1070"/>
      <c r="G1070"/>
      <c r="H1070"/>
      <c r="I1070"/>
      <c r="J1070"/>
      <c r="K1070"/>
      <c r="L1070"/>
    </row>
    <row r="1071" spans="1:12">
      <c r="A1071"/>
      <c r="B1071"/>
      <c r="C1071"/>
      <c r="D1071"/>
      <c r="E1071"/>
      <c r="F1071"/>
      <c r="G1071"/>
      <c r="H1071"/>
      <c r="I1071"/>
      <c r="J1071"/>
      <c r="K1071"/>
      <c r="L1071"/>
    </row>
    <row r="1072" spans="1:12">
      <c r="A1072"/>
      <c r="B1072"/>
      <c r="C1072"/>
      <c r="D1072"/>
      <c r="E1072"/>
      <c r="F1072"/>
      <c r="G1072"/>
      <c r="H1072"/>
      <c r="I1072"/>
      <c r="J1072"/>
      <c r="K1072"/>
      <c r="L1072"/>
    </row>
    <row r="1073" spans="1:12">
      <c r="A1073"/>
      <c r="B1073"/>
      <c r="C1073"/>
      <c r="D1073"/>
      <c r="E1073"/>
      <c r="F1073"/>
      <c r="G1073"/>
      <c r="H1073"/>
      <c r="I1073"/>
      <c r="J1073"/>
      <c r="K1073"/>
      <c r="L1073"/>
    </row>
    <row r="1074" spans="1:12">
      <c r="A1074"/>
      <c r="B1074"/>
      <c r="C1074"/>
      <c r="D1074"/>
      <c r="E1074"/>
      <c r="F1074"/>
      <c r="G1074"/>
      <c r="H1074"/>
      <c r="I1074"/>
      <c r="J1074"/>
      <c r="K1074"/>
      <c r="L1074"/>
    </row>
    <row r="1075" spans="1:12">
      <c r="A1075"/>
      <c r="B1075"/>
      <c r="C1075"/>
      <c r="D1075"/>
      <c r="E1075"/>
      <c r="F1075"/>
      <c r="G1075"/>
      <c r="H1075"/>
      <c r="I1075"/>
      <c r="J1075"/>
      <c r="K1075"/>
      <c r="L1075"/>
    </row>
    <row r="1076" spans="1:12">
      <c r="A1076"/>
      <c r="B1076"/>
      <c r="C1076"/>
      <c r="D1076"/>
      <c r="E1076"/>
      <c r="F1076"/>
      <c r="G1076"/>
      <c r="H1076"/>
      <c r="I1076"/>
      <c r="J1076"/>
      <c r="K1076"/>
      <c r="L1076"/>
    </row>
    <row r="1077" spans="1:12">
      <c r="A1077"/>
      <c r="B1077"/>
      <c r="C1077"/>
      <c r="D1077"/>
      <c r="E1077"/>
      <c r="F1077"/>
      <c r="G1077"/>
      <c r="H1077"/>
      <c r="I1077"/>
      <c r="J1077"/>
      <c r="K1077"/>
      <c r="L1077"/>
    </row>
    <row r="1078" spans="1:12">
      <c r="A1078"/>
      <c r="B1078"/>
      <c r="C1078"/>
      <c r="D1078"/>
      <c r="E1078"/>
      <c r="F1078"/>
      <c r="G1078"/>
      <c r="H1078"/>
      <c r="I1078"/>
      <c r="J1078"/>
      <c r="K1078"/>
      <c r="L1078"/>
    </row>
    <row r="1079" spans="1:12">
      <c r="A1079"/>
      <c r="B1079"/>
      <c r="C1079"/>
      <c r="D1079"/>
      <c r="E1079"/>
      <c r="F1079"/>
      <c r="G1079"/>
      <c r="H1079"/>
      <c r="I1079"/>
      <c r="J1079"/>
      <c r="K1079"/>
      <c r="L1079"/>
    </row>
    <row r="1080" spans="1:12">
      <c r="A1080"/>
      <c r="B1080"/>
      <c r="C1080"/>
      <c r="D1080"/>
      <c r="E1080"/>
      <c r="F1080"/>
      <c r="G1080"/>
      <c r="H1080"/>
      <c r="I1080"/>
      <c r="J1080"/>
      <c r="K1080"/>
      <c r="L1080"/>
    </row>
    <row r="1081" spans="1:12">
      <c r="A1081"/>
      <c r="B1081"/>
      <c r="C1081"/>
      <c r="D1081"/>
      <c r="E1081"/>
      <c r="F1081"/>
      <c r="G1081"/>
      <c r="H1081"/>
      <c r="I1081"/>
      <c r="J1081"/>
      <c r="K1081"/>
      <c r="L1081"/>
    </row>
    <row r="1082" spans="1:12">
      <c r="A1082"/>
      <c r="B1082"/>
      <c r="C1082"/>
      <c r="D1082"/>
      <c r="E1082"/>
      <c r="F1082"/>
      <c r="G1082"/>
      <c r="H1082"/>
      <c r="I1082"/>
      <c r="J1082"/>
      <c r="K1082"/>
      <c r="L1082"/>
    </row>
    <row r="1083" spans="1:12">
      <c r="A1083"/>
      <c r="B1083"/>
      <c r="C1083"/>
      <c r="D1083"/>
      <c r="E1083"/>
      <c r="F1083"/>
      <c r="G1083"/>
      <c r="H1083"/>
      <c r="I1083"/>
      <c r="J1083"/>
      <c r="K1083"/>
      <c r="L1083"/>
    </row>
    <row r="1084" spans="1:12">
      <c r="A1084"/>
      <c r="B1084"/>
      <c r="C1084"/>
      <c r="D1084"/>
      <c r="E1084"/>
      <c r="F1084"/>
      <c r="G1084"/>
      <c r="H1084"/>
      <c r="I1084"/>
      <c r="J1084"/>
      <c r="K1084"/>
      <c r="L1084"/>
    </row>
    <row r="1085" spans="1:12">
      <c r="A1085"/>
      <c r="B1085"/>
      <c r="C1085"/>
      <c r="D1085"/>
      <c r="E1085"/>
      <c r="F1085"/>
      <c r="G1085"/>
      <c r="H1085"/>
      <c r="I1085"/>
      <c r="J1085"/>
      <c r="K1085"/>
      <c r="L1085"/>
    </row>
    <row r="1086" spans="1:12">
      <c r="A1086"/>
      <c r="B1086"/>
      <c r="C1086"/>
      <c r="D1086"/>
      <c r="E1086"/>
      <c r="F1086"/>
      <c r="G1086"/>
      <c r="H1086"/>
      <c r="I1086"/>
      <c r="J1086"/>
      <c r="K1086"/>
      <c r="L1086"/>
    </row>
    <row r="1087" spans="1:12">
      <c r="A1087"/>
      <c r="B1087"/>
      <c r="C1087"/>
      <c r="D1087"/>
      <c r="E1087"/>
      <c r="F1087"/>
      <c r="G1087"/>
      <c r="H1087"/>
      <c r="I1087"/>
      <c r="J1087"/>
      <c r="K1087"/>
      <c r="L1087"/>
    </row>
    <row r="1088" spans="1:12">
      <c r="A1088"/>
      <c r="B1088"/>
      <c r="C1088"/>
      <c r="D1088"/>
      <c r="E1088"/>
      <c r="F1088"/>
      <c r="G1088"/>
      <c r="H1088"/>
      <c r="I1088"/>
      <c r="J1088"/>
      <c r="K1088"/>
      <c r="L1088"/>
    </row>
    <row r="1089" spans="1:12">
      <c r="A1089"/>
      <c r="B1089"/>
      <c r="C1089"/>
      <c r="D1089"/>
      <c r="E1089"/>
      <c r="F1089"/>
      <c r="G1089"/>
      <c r="H1089"/>
      <c r="I1089"/>
      <c r="J1089"/>
      <c r="K1089"/>
      <c r="L1089"/>
    </row>
    <row r="1090" spans="1:12">
      <c r="A1090"/>
      <c r="B1090"/>
      <c r="C1090"/>
      <c r="D1090"/>
      <c r="E1090"/>
      <c r="F1090"/>
      <c r="G1090"/>
      <c r="H1090"/>
      <c r="I1090"/>
      <c r="J1090"/>
      <c r="K1090"/>
      <c r="L1090"/>
    </row>
    <row r="1091" spans="1:12">
      <c r="A1091"/>
      <c r="B1091"/>
      <c r="C1091"/>
      <c r="D1091"/>
      <c r="E1091"/>
      <c r="F1091"/>
      <c r="G1091"/>
      <c r="H1091"/>
      <c r="I1091"/>
      <c r="J1091"/>
      <c r="K1091"/>
      <c r="L1091"/>
    </row>
    <row r="1092" spans="1:12">
      <c r="A1092"/>
      <c r="B1092"/>
      <c r="C1092"/>
      <c r="D1092"/>
      <c r="E1092"/>
      <c r="F1092"/>
      <c r="G1092"/>
      <c r="H1092"/>
      <c r="I1092"/>
      <c r="J1092"/>
      <c r="K1092"/>
      <c r="L1092"/>
    </row>
    <row r="1093" spans="1:12">
      <c r="A1093"/>
      <c r="B1093"/>
      <c r="C1093"/>
      <c r="D1093"/>
      <c r="E1093"/>
      <c r="F1093"/>
      <c r="G1093"/>
      <c r="H1093"/>
      <c r="I1093"/>
      <c r="J1093"/>
      <c r="K1093"/>
      <c r="L1093"/>
    </row>
    <row r="1094" spans="1:12">
      <c r="A1094"/>
      <c r="B1094"/>
      <c r="C1094"/>
      <c r="D1094"/>
      <c r="E1094"/>
      <c r="F1094"/>
      <c r="G1094"/>
      <c r="H1094"/>
      <c r="I1094"/>
      <c r="J1094"/>
      <c r="K1094"/>
      <c r="L1094"/>
    </row>
    <row r="1095" spans="1:12">
      <c r="A1095"/>
      <c r="B1095"/>
      <c r="C1095"/>
      <c r="D1095"/>
      <c r="E1095"/>
      <c r="F1095"/>
      <c r="G1095"/>
      <c r="H1095"/>
      <c r="I1095"/>
      <c r="J1095"/>
      <c r="K1095"/>
      <c r="L1095"/>
    </row>
    <row r="1096" spans="1:12">
      <c r="A1096"/>
      <c r="B1096"/>
      <c r="C1096"/>
      <c r="D1096"/>
      <c r="E1096"/>
      <c r="F1096"/>
      <c r="G1096"/>
      <c r="H1096"/>
      <c r="I1096"/>
      <c r="J1096"/>
      <c r="K1096"/>
      <c r="L1096"/>
    </row>
    <row r="1097" spans="1:12">
      <c r="A1097"/>
      <c r="B1097"/>
      <c r="C1097"/>
      <c r="D1097"/>
      <c r="E1097"/>
      <c r="F1097"/>
      <c r="G1097"/>
      <c r="H1097"/>
      <c r="I1097"/>
      <c r="J1097"/>
      <c r="K1097"/>
      <c r="L1097"/>
    </row>
    <row r="1098" spans="1:12">
      <c r="A1098"/>
      <c r="B1098"/>
      <c r="C1098"/>
      <c r="D1098"/>
      <c r="E1098"/>
      <c r="F1098"/>
      <c r="G1098"/>
      <c r="H1098"/>
      <c r="I1098"/>
      <c r="J1098"/>
      <c r="K1098"/>
      <c r="L1098"/>
    </row>
    <row r="1099" spans="1:12">
      <c r="A1099"/>
      <c r="B1099"/>
      <c r="C1099"/>
      <c r="D1099"/>
      <c r="E1099"/>
      <c r="F1099"/>
      <c r="G1099"/>
      <c r="H1099"/>
      <c r="I1099"/>
      <c r="J1099"/>
      <c r="K1099"/>
      <c r="L1099"/>
    </row>
    <row r="1100" spans="1:12">
      <c r="A1100"/>
      <c r="B1100"/>
      <c r="C1100"/>
      <c r="D1100"/>
      <c r="E1100"/>
      <c r="F1100"/>
      <c r="G1100"/>
      <c r="H1100"/>
      <c r="I1100"/>
      <c r="J1100"/>
      <c r="K1100"/>
      <c r="L1100"/>
    </row>
    <row r="1101" spans="1:12">
      <c r="A1101"/>
      <c r="B1101"/>
      <c r="C1101"/>
      <c r="D1101"/>
      <c r="E1101"/>
      <c r="F1101"/>
      <c r="G1101"/>
      <c r="H1101"/>
      <c r="I1101"/>
      <c r="J1101"/>
      <c r="K1101"/>
      <c r="L1101"/>
    </row>
    <row r="1102" spans="1:12">
      <c r="A1102"/>
      <c r="B1102"/>
      <c r="C1102"/>
      <c r="D1102"/>
      <c r="E1102"/>
      <c r="F1102"/>
      <c r="G1102"/>
      <c r="H1102"/>
      <c r="I1102"/>
      <c r="J1102"/>
      <c r="K1102"/>
      <c r="L1102"/>
    </row>
    <row r="1103" spans="1:12">
      <c r="A1103"/>
      <c r="B1103"/>
      <c r="C1103"/>
      <c r="D1103"/>
      <c r="E1103"/>
      <c r="F1103"/>
      <c r="G1103"/>
      <c r="H1103"/>
      <c r="I1103"/>
      <c r="J1103"/>
      <c r="K1103"/>
      <c r="L1103"/>
    </row>
    <row r="1104" spans="1:12">
      <c r="A1104"/>
      <c r="B1104"/>
      <c r="C1104"/>
      <c r="D1104"/>
      <c r="E1104"/>
      <c r="F1104"/>
      <c r="G1104"/>
      <c r="H1104"/>
      <c r="I1104"/>
      <c r="J1104"/>
      <c r="K1104"/>
      <c r="L1104"/>
    </row>
    <row r="1105" spans="1:12">
      <c r="A1105"/>
      <c r="B1105"/>
      <c r="C1105"/>
      <c r="D1105"/>
      <c r="E1105"/>
      <c r="F1105"/>
      <c r="G1105"/>
      <c r="H1105"/>
      <c r="I1105"/>
      <c r="J1105"/>
      <c r="K1105"/>
      <c r="L1105"/>
    </row>
    <row r="1106" spans="1:12">
      <c r="A1106"/>
      <c r="B1106"/>
      <c r="C1106"/>
      <c r="D1106"/>
      <c r="E1106"/>
      <c r="F1106"/>
      <c r="G1106"/>
      <c r="H1106"/>
      <c r="I1106"/>
      <c r="J1106"/>
      <c r="K1106"/>
      <c r="L1106"/>
    </row>
    <row r="1107" spans="1:12">
      <c r="A1107"/>
      <c r="B1107"/>
      <c r="C1107"/>
      <c r="D1107"/>
      <c r="E1107"/>
      <c r="F1107"/>
      <c r="G1107"/>
      <c r="H1107"/>
      <c r="I1107"/>
      <c r="J1107"/>
      <c r="K1107"/>
      <c r="L1107"/>
    </row>
    <row r="1108" spans="1:12">
      <c r="A1108"/>
      <c r="B1108"/>
      <c r="C1108"/>
      <c r="D1108"/>
      <c r="E1108"/>
      <c r="F1108"/>
      <c r="G1108"/>
      <c r="H1108"/>
      <c r="I1108"/>
      <c r="J1108"/>
      <c r="K1108"/>
      <c r="L1108"/>
    </row>
    <row r="1109" spans="1:12">
      <c r="A1109"/>
      <c r="B1109"/>
      <c r="C1109"/>
      <c r="D1109"/>
      <c r="E1109"/>
      <c r="F1109"/>
      <c r="G1109"/>
      <c r="H1109"/>
      <c r="I1109"/>
      <c r="J1109"/>
      <c r="K1109"/>
      <c r="L1109"/>
    </row>
    <row r="1110" spans="1:12">
      <c r="A1110"/>
      <c r="B1110"/>
      <c r="C1110"/>
      <c r="D1110"/>
      <c r="E1110"/>
      <c r="F1110"/>
      <c r="G1110"/>
      <c r="H1110"/>
      <c r="I1110"/>
      <c r="J1110"/>
      <c r="K1110"/>
      <c r="L1110"/>
    </row>
    <row r="1111" spans="1:12">
      <c r="A1111"/>
      <c r="B1111"/>
      <c r="C1111"/>
      <c r="D1111"/>
      <c r="E1111"/>
      <c r="F1111"/>
      <c r="G1111"/>
      <c r="H1111"/>
      <c r="I1111"/>
      <c r="J1111"/>
      <c r="K1111"/>
      <c r="L1111"/>
    </row>
    <row r="1112" spans="1:12">
      <c r="A1112"/>
      <c r="B1112"/>
      <c r="C1112"/>
      <c r="D1112"/>
      <c r="E1112"/>
      <c r="F1112"/>
      <c r="G1112"/>
      <c r="H1112"/>
      <c r="I1112"/>
      <c r="J1112"/>
      <c r="K1112"/>
      <c r="L1112"/>
    </row>
    <row r="1113" spans="1:12">
      <c r="A1113"/>
      <c r="B1113"/>
      <c r="C1113"/>
      <c r="D1113"/>
      <c r="E1113"/>
      <c r="F1113"/>
      <c r="G1113"/>
      <c r="H1113"/>
      <c r="I1113"/>
      <c r="J1113"/>
      <c r="K1113"/>
      <c r="L1113"/>
    </row>
    <row r="1114" spans="1:12">
      <c r="A1114"/>
      <c r="B1114"/>
      <c r="C1114"/>
      <c r="D1114"/>
      <c r="E1114"/>
      <c r="F1114"/>
      <c r="G1114"/>
      <c r="H1114"/>
      <c r="I1114"/>
      <c r="J1114"/>
      <c r="K1114"/>
      <c r="L1114"/>
    </row>
    <row r="1115" spans="1:12">
      <c r="A1115"/>
      <c r="B1115"/>
      <c r="C1115"/>
      <c r="D1115"/>
      <c r="E1115"/>
      <c r="F1115"/>
      <c r="G1115"/>
      <c r="H1115"/>
      <c r="I1115"/>
      <c r="J1115"/>
      <c r="K1115"/>
      <c r="L1115"/>
    </row>
    <row r="1116" spans="1:12">
      <c r="A1116"/>
      <c r="B1116"/>
      <c r="C1116"/>
      <c r="D1116"/>
      <c r="E1116"/>
      <c r="F1116"/>
      <c r="G1116"/>
      <c r="H1116"/>
      <c r="I1116"/>
      <c r="J1116"/>
      <c r="K1116"/>
      <c r="L1116"/>
    </row>
    <row r="1117" spans="1:12">
      <c r="A1117"/>
      <c r="B1117"/>
      <c r="C1117"/>
      <c r="D1117"/>
      <c r="E1117"/>
      <c r="F1117"/>
      <c r="G1117"/>
      <c r="H1117"/>
      <c r="I1117"/>
      <c r="J1117"/>
      <c r="K1117"/>
      <c r="L1117"/>
    </row>
    <row r="1118" spans="1:12">
      <c r="A1118"/>
      <c r="B1118"/>
      <c r="C1118"/>
      <c r="D1118"/>
      <c r="E1118"/>
      <c r="F1118"/>
      <c r="G1118"/>
      <c r="H1118"/>
      <c r="I1118"/>
      <c r="J1118"/>
      <c r="K1118"/>
      <c r="L1118"/>
    </row>
    <row r="1119" spans="1:12">
      <c r="A1119"/>
      <c r="B1119"/>
      <c r="C1119"/>
      <c r="D1119"/>
      <c r="E1119"/>
      <c r="F1119"/>
      <c r="G1119"/>
      <c r="H1119"/>
      <c r="I1119"/>
      <c r="J1119"/>
      <c r="K1119"/>
      <c r="L1119"/>
    </row>
    <row r="1120" spans="1:12">
      <c r="A1120"/>
      <c r="B1120"/>
      <c r="C1120"/>
      <c r="D1120"/>
      <c r="E1120"/>
      <c r="F1120"/>
      <c r="G1120"/>
      <c r="H1120"/>
      <c r="I1120"/>
      <c r="J1120"/>
      <c r="K1120"/>
      <c r="L1120"/>
    </row>
    <row r="1121" spans="1:12">
      <c r="A1121"/>
      <c r="B1121"/>
      <c r="C1121"/>
      <c r="D1121"/>
      <c r="E1121"/>
      <c r="F1121"/>
      <c r="G1121"/>
      <c r="H1121"/>
      <c r="I1121"/>
      <c r="J1121"/>
      <c r="K1121"/>
      <c r="L1121"/>
    </row>
    <row r="1122" spans="1:12">
      <c r="A1122"/>
      <c r="B1122"/>
      <c r="C1122"/>
      <c r="D1122"/>
      <c r="E1122"/>
      <c r="F1122"/>
      <c r="G1122"/>
      <c r="H1122"/>
      <c r="I1122"/>
      <c r="J1122"/>
      <c r="K1122"/>
      <c r="L1122"/>
    </row>
    <row r="1123" spans="1:12">
      <c r="A1123"/>
      <c r="B1123"/>
      <c r="C1123"/>
      <c r="D1123"/>
      <c r="E1123"/>
      <c r="F1123"/>
      <c r="G1123"/>
      <c r="H1123"/>
      <c r="I1123"/>
      <c r="J1123"/>
      <c r="K1123"/>
      <c r="L1123"/>
    </row>
    <row r="1124" spans="1:12">
      <c r="A1124"/>
      <c r="B1124"/>
      <c r="C1124"/>
      <c r="D1124"/>
      <c r="E1124"/>
      <c r="F1124"/>
      <c r="G1124"/>
      <c r="H1124"/>
      <c r="I1124"/>
      <c r="J1124"/>
      <c r="K1124"/>
      <c r="L1124"/>
    </row>
    <row r="1125" spans="1:12">
      <c r="A1125"/>
      <c r="B1125"/>
      <c r="C1125"/>
      <c r="D1125"/>
      <c r="E1125"/>
      <c r="F1125"/>
      <c r="G1125"/>
      <c r="H1125"/>
      <c r="I1125"/>
      <c r="J1125"/>
      <c r="K1125"/>
      <c r="L1125"/>
    </row>
    <row r="1126" spans="1:12">
      <c r="A1126"/>
      <c r="B1126"/>
      <c r="C1126"/>
      <c r="D1126"/>
      <c r="E1126"/>
      <c r="F1126"/>
      <c r="G1126"/>
      <c r="H1126"/>
      <c r="I1126"/>
      <c r="J1126"/>
      <c r="K1126"/>
      <c r="L1126"/>
    </row>
    <row r="1127" spans="1:12">
      <c r="A1127"/>
      <c r="B1127"/>
      <c r="C1127"/>
      <c r="D1127"/>
      <c r="E1127"/>
      <c r="F1127"/>
      <c r="G1127"/>
      <c r="H1127"/>
      <c r="I1127"/>
      <c r="J1127"/>
      <c r="K1127"/>
      <c r="L1127"/>
    </row>
    <row r="1128" spans="1:12">
      <c r="A1128"/>
      <c r="B1128"/>
      <c r="C1128"/>
      <c r="D1128"/>
      <c r="E1128"/>
      <c r="F1128"/>
      <c r="G1128"/>
      <c r="H1128"/>
      <c r="I1128"/>
      <c r="J1128"/>
      <c r="K1128"/>
      <c r="L1128"/>
    </row>
    <row r="1129" spans="1:12">
      <c r="A1129"/>
      <c r="B1129"/>
      <c r="C1129"/>
      <c r="D1129"/>
      <c r="E1129"/>
      <c r="F1129"/>
      <c r="G1129"/>
      <c r="H1129"/>
      <c r="I1129"/>
      <c r="J1129"/>
      <c r="K1129"/>
      <c r="L1129"/>
    </row>
    <row r="1130" spans="1:12">
      <c r="A1130"/>
      <c r="B1130"/>
      <c r="C1130"/>
      <c r="D1130"/>
      <c r="E1130"/>
      <c r="F1130"/>
      <c r="G1130"/>
      <c r="H1130"/>
      <c r="I1130"/>
      <c r="J1130"/>
      <c r="K1130"/>
      <c r="L1130"/>
    </row>
    <row r="1131" spans="1:12">
      <c r="A1131"/>
      <c r="B1131"/>
      <c r="C1131"/>
      <c r="D1131"/>
      <c r="E1131"/>
      <c r="F1131"/>
      <c r="G1131"/>
      <c r="H1131"/>
      <c r="I1131"/>
      <c r="J1131"/>
      <c r="K1131"/>
      <c r="L1131"/>
    </row>
    <row r="1132" spans="1:12">
      <c r="A1132"/>
      <c r="B1132"/>
      <c r="C1132"/>
      <c r="D1132"/>
      <c r="E1132"/>
      <c r="F1132"/>
      <c r="G1132"/>
      <c r="H1132"/>
      <c r="I1132"/>
      <c r="J1132"/>
      <c r="K1132"/>
      <c r="L1132"/>
    </row>
    <row r="1133" spans="1:12">
      <c r="A1133"/>
      <c r="B1133"/>
      <c r="C1133"/>
      <c r="D1133"/>
      <c r="E1133"/>
      <c r="F1133"/>
      <c r="G1133"/>
      <c r="H1133"/>
      <c r="I1133"/>
      <c r="J1133"/>
      <c r="K1133"/>
      <c r="L1133"/>
    </row>
    <row r="1134" spans="1:12">
      <c r="A1134"/>
      <c r="B1134"/>
      <c r="C1134"/>
      <c r="D1134"/>
      <c r="E1134"/>
      <c r="F1134"/>
      <c r="G1134"/>
      <c r="H1134"/>
      <c r="I1134"/>
      <c r="J1134"/>
      <c r="K1134"/>
      <c r="L1134"/>
    </row>
    <row r="1135" spans="1:12">
      <c r="A1135"/>
      <c r="B1135"/>
      <c r="C1135"/>
      <c r="D1135"/>
      <c r="E1135"/>
      <c r="F1135"/>
      <c r="G1135"/>
      <c r="H1135"/>
      <c r="I1135"/>
      <c r="J1135"/>
      <c r="K1135"/>
      <c r="L1135"/>
    </row>
    <row r="1136" spans="1:12">
      <c r="A1136"/>
      <c r="B1136"/>
      <c r="C1136"/>
      <c r="D1136"/>
      <c r="E1136"/>
      <c r="F1136"/>
      <c r="G1136"/>
      <c r="H1136"/>
      <c r="I1136"/>
      <c r="J1136"/>
      <c r="K1136"/>
      <c r="L1136"/>
    </row>
    <row r="1137" spans="1:12">
      <c r="A1137"/>
      <c r="B1137"/>
      <c r="C1137"/>
      <c r="D1137"/>
      <c r="E1137"/>
      <c r="F1137"/>
      <c r="G1137"/>
      <c r="H1137"/>
      <c r="I1137"/>
      <c r="J1137"/>
      <c r="K1137"/>
      <c r="L1137"/>
    </row>
    <row r="1138" spans="1:12">
      <c r="A1138"/>
      <c r="B1138"/>
      <c r="C1138"/>
      <c r="D1138"/>
      <c r="E1138"/>
      <c r="F1138"/>
      <c r="G1138"/>
      <c r="H1138"/>
      <c r="I1138"/>
      <c r="J1138"/>
      <c r="K1138"/>
      <c r="L1138"/>
    </row>
    <row r="1139" spans="1:12">
      <c r="A1139"/>
      <c r="B1139"/>
      <c r="C1139"/>
      <c r="D1139"/>
      <c r="E1139"/>
      <c r="F1139"/>
      <c r="G1139"/>
      <c r="H1139"/>
      <c r="I1139"/>
      <c r="J1139"/>
      <c r="K1139"/>
      <c r="L1139"/>
    </row>
    <row r="1140" spans="1:12">
      <c r="A1140"/>
      <c r="B1140"/>
      <c r="C1140"/>
      <c r="D1140"/>
      <c r="E1140"/>
      <c r="F1140"/>
      <c r="G1140"/>
      <c r="H1140"/>
      <c r="I1140"/>
      <c r="J1140"/>
      <c r="K1140"/>
      <c r="L1140"/>
    </row>
    <row r="1141" spans="1:12">
      <c r="A1141"/>
      <c r="B1141"/>
      <c r="C1141"/>
      <c r="D1141"/>
      <c r="E1141"/>
      <c r="F1141"/>
      <c r="G1141"/>
      <c r="H1141"/>
      <c r="I1141"/>
      <c r="J1141"/>
      <c r="K1141"/>
      <c r="L1141"/>
    </row>
    <row r="1142" spans="1:12">
      <c r="A1142"/>
      <c r="B1142"/>
      <c r="C1142"/>
      <c r="D1142"/>
      <c r="E1142"/>
      <c r="F1142"/>
      <c r="G1142"/>
      <c r="H1142"/>
      <c r="I1142"/>
      <c r="J1142"/>
      <c r="K1142"/>
      <c r="L1142"/>
    </row>
    <row r="1143" spans="1:12">
      <c r="A1143"/>
      <c r="B1143"/>
      <c r="C1143"/>
      <c r="D1143"/>
      <c r="E1143"/>
      <c r="F1143"/>
      <c r="G1143"/>
      <c r="H1143"/>
      <c r="I1143"/>
      <c r="J1143"/>
      <c r="K1143"/>
      <c r="L1143"/>
    </row>
    <row r="1144" spans="1:12">
      <c r="A1144"/>
      <c r="B1144"/>
      <c r="C1144"/>
      <c r="D1144"/>
      <c r="E1144"/>
      <c r="F1144"/>
      <c r="G1144"/>
      <c r="H1144"/>
      <c r="I1144"/>
      <c r="J1144"/>
      <c r="K1144"/>
      <c r="L1144"/>
    </row>
    <row r="1145" spans="1:12">
      <c r="A1145"/>
      <c r="B1145"/>
      <c r="C1145"/>
      <c r="D1145"/>
      <c r="E1145"/>
      <c r="F1145"/>
      <c r="G1145"/>
      <c r="H1145"/>
      <c r="I1145"/>
      <c r="J1145"/>
      <c r="K1145"/>
      <c r="L1145"/>
    </row>
    <row r="1146" spans="1:12">
      <c r="A1146"/>
      <c r="B1146"/>
      <c r="C1146"/>
      <c r="D1146"/>
      <c r="E1146"/>
      <c r="F1146"/>
      <c r="G1146"/>
      <c r="H1146"/>
      <c r="I1146"/>
      <c r="J1146"/>
      <c r="K1146"/>
      <c r="L1146"/>
    </row>
    <row r="1147" spans="1:12">
      <c r="A1147"/>
      <c r="B1147"/>
      <c r="C1147"/>
      <c r="D1147"/>
      <c r="E1147"/>
      <c r="F1147"/>
      <c r="G1147"/>
      <c r="H1147"/>
      <c r="I1147"/>
      <c r="J1147"/>
      <c r="K1147"/>
      <c r="L1147"/>
    </row>
    <row r="1148" spans="1:12">
      <c r="A1148"/>
      <c r="B1148"/>
      <c r="C1148"/>
      <c r="D1148"/>
      <c r="E1148"/>
      <c r="F1148"/>
      <c r="G1148"/>
      <c r="H1148"/>
      <c r="I1148"/>
      <c r="J1148"/>
      <c r="K1148"/>
      <c r="L1148"/>
    </row>
    <row r="1149" spans="1:12">
      <c r="A1149"/>
      <c r="B1149"/>
      <c r="C1149"/>
      <c r="D1149"/>
      <c r="E1149"/>
      <c r="F1149"/>
      <c r="G1149"/>
      <c r="H1149"/>
      <c r="I1149"/>
      <c r="J1149"/>
      <c r="K1149"/>
      <c r="L1149"/>
    </row>
    <row r="1150" spans="1:12">
      <c r="A1150"/>
      <c r="B1150"/>
      <c r="C1150"/>
      <c r="D1150"/>
      <c r="E1150"/>
      <c r="F1150"/>
      <c r="G1150"/>
      <c r="H1150"/>
      <c r="I1150"/>
      <c r="J1150"/>
      <c r="K1150"/>
      <c r="L1150"/>
    </row>
    <row r="1151" spans="1:12">
      <c r="A1151"/>
      <c r="B1151"/>
      <c r="C1151"/>
      <c r="D1151"/>
      <c r="E1151"/>
      <c r="F1151"/>
      <c r="G1151"/>
      <c r="H1151"/>
      <c r="I1151"/>
      <c r="J1151"/>
      <c r="K1151"/>
      <c r="L1151"/>
    </row>
    <row r="1152" spans="1:12">
      <c r="A1152"/>
      <c r="B1152"/>
      <c r="C1152"/>
      <c r="D1152"/>
      <c r="E1152"/>
      <c r="F1152"/>
      <c r="G1152"/>
      <c r="H1152"/>
      <c r="I1152"/>
      <c r="J1152"/>
      <c r="K1152"/>
      <c r="L1152"/>
    </row>
    <row r="1153" spans="1:12">
      <c r="A1153"/>
      <c r="B1153"/>
      <c r="C1153"/>
      <c r="D1153"/>
      <c r="E1153"/>
      <c r="F1153"/>
      <c r="G1153"/>
      <c r="H1153"/>
      <c r="I1153"/>
      <c r="J1153"/>
      <c r="K1153"/>
      <c r="L1153"/>
    </row>
    <row r="1154" spans="1:12">
      <c r="A1154"/>
      <c r="B1154"/>
      <c r="C1154"/>
      <c r="D1154"/>
      <c r="E1154"/>
      <c r="F1154"/>
      <c r="G1154"/>
      <c r="H1154"/>
      <c r="I1154"/>
      <c r="J1154"/>
      <c r="K1154"/>
      <c r="L1154"/>
    </row>
    <row r="1155" spans="1:12">
      <c r="A1155"/>
      <c r="B1155"/>
      <c r="C1155"/>
      <c r="D1155"/>
      <c r="E1155"/>
      <c r="F1155"/>
      <c r="G1155"/>
      <c r="H1155"/>
      <c r="I1155"/>
      <c r="J1155"/>
      <c r="K1155"/>
      <c r="L1155"/>
    </row>
    <row r="1156" spans="1:12">
      <c r="A1156"/>
      <c r="B1156"/>
      <c r="C1156"/>
      <c r="D1156"/>
      <c r="E1156"/>
      <c r="F1156"/>
      <c r="G1156"/>
      <c r="H1156"/>
      <c r="I1156"/>
      <c r="J1156"/>
      <c r="K1156"/>
      <c r="L1156"/>
    </row>
    <row r="1157" spans="1:12">
      <c r="A1157"/>
      <c r="B1157"/>
      <c r="C1157"/>
      <c r="D1157"/>
      <c r="E1157"/>
      <c r="F1157"/>
      <c r="G1157"/>
      <c r="H1157"/>
      <c r="I1157"/>
      <c r="J1157"/>
      <c r="K1157"/>
      <c r="L1157"/>
    </row>
    <row r="1158" spans="1:12">
      <c r="A1158"/>
      <c r="B1158"/>
      <c r="C1158"/>
      <c r="D1158"/>
      <c r="E1158"/>
      <c r="F1158"/>
      <c r="G1158"/>
      <c r="H1158"/>
      <c r="I1158"/>
      <c r="J1158"/>
      <c r="K1158"/>
      <c r="L1158"/>
    </row>
    <row r="1159" spans="1:12">
      <c r="A1159"/>
      <c r="B1159"/>
      <c r="C1159"/>
      <c r="D1159"/>
      <c r="E1159"/>
      <c r="F1159"/>
      <c r="G1159"/>
      <c r="H1159"/>
      <c r="I1159"/>
      <c r="J1159"/>
      <c r="K1159"/>
      <c r="L1159"/>
    </row>
    <row r="1160" spans="1:12">
      <c r="A1160"/>
      <c r="B1160"/>
      <c r="C1160"/>
      <c r="D1160"/>
      <c r="E1160"/>
      <c r="F1160"/>
      <c r="G1160"/>
      <c r="H1160"/>
      <c r="I1160"/>
      <c r="J1160"/>
      <c r="K1160"/>
      <c r="L1160"/>
    </row>
    <row r="1161" spans="1:12">
      <c r="A1161"/>
      <c r="B1161"/>
      <c r="C1161"/>
      <c r="D1161"/>
      <c r="E1161"/>
      <c r="F1161"/>
      <c r="G1161"/>
      <c r="H1161"/>
      <c r="I1161"/>
      <c r="J1161"/>
      <c r="K1161"/>
      <c r="L1161"/>
    </row>
    <row r="1162" spans="1:12">
      <c r="A1162"/>
      <c r="B1162"/>
      <c r="C1162"/>
      <c r="D1162"/>
      <c r="E1162"/>
      <c r="F1162"/>
      <c r="G1162"/>
      <c r="H1162"/>
      <c r="I1162"/>
      <c r="J1162"/>
      <c r="K1162"/>
      <c r="L1162"/>
    </row>
    <row r="1163" spans="1:12">
      <c r="A1163"/>
      <c r="B1163"/>
      <c r="C1163"/>
      <c r="D1163"/>
      <c r="E1163"/>
      <c r="F1163"/>
      <c r="G1163"/>
      <c r="H1163"/>
      <c r="I1163"/>
      <c r="J1163"/>
      <c r="K1163"/>
      <c r="L1163"/>
    </row>
    <row r="1164" spans="1:12">
      <c r="A1164"/>
      <c r="B1164"/>
      <c r="C1164"/>
      <c r="D1164"/>
      <c r="E1164"/>
      <c r="F1164"/>
      <c r="G1164"/>
      <c r="H1164"/>
      <c r="I1164"/>
      <c r="J1164"/>
      <c r="K1164"/>
      <c r="L1164"/>
    </row>
    <row r="1165" spans="1:12">
      <c r="A1165"/>
      <c r="B1165"/>
      <c r="C1165"/>
      <c r="D1165"/>
      <c r="E1165"/>
      <c r="F1165"/>
      <c r="G1165"/>
      <c r="H1165"/>
      <c r="I1165"/>
      <c r="J1165"/>
      <c r="K1165"/>
      <c r="L1165"/>
    </row>
    <row r="1166" spans="1:12">
      <c r="A1166"/>
      <c r="B1166"/>
      <c r="C1166"/>
      <c r="D1166"/>
      <c r="E1166"/>
      <c r="F1166"/>
      <c r="G1166"/>
      <c r="H1166"/>
      <c r="I1166"/>
      <c r="J1166"/>
      <c r="K1166"/>
      <c r="L1166"/>
    </row>
    <row r="1167" spans="1:12">
      <c r="A1167"/>
      <c r="B1167"/>
      <c r="C1167"/>
      <c r="D1167"/>
      <c r="E1167"/>
      <c r="F1167"/>
      <c r="G1167"/>
      <c r="H1167"/>
      <c r="I1167"/>
      <c r="J1167"/>
      <c r="K1167"/>
      <c r="L1167"/>
    </row>
    <row r="1168" spans="1:12">
      <c r="A1168"/>
      <c r="B1168"/>
      <c r="C1168"/>
      <c r="D1168"/>
      <c r="E1168"/>
      <c r="F1168"/>
      <c r="G1168"/>
      <c r="H1168"/>
      <c r="I1168"/>
      <c r="J1168"/>
      <c r="K1168"/>
      <c r="L1168"/>
    </row>
    <row r="1169" spans="1:12">
      <c r="A1169"/>
      <c r="B1169"/>
      <c r="C1169"/>
      <c r="D1169"/>
      <c r="E1169"/>
      <c r="F1169"/>
      <c r="G1169"/>
      <c r="H1169"/>
      <c r="I1169"/>
      <c r="J1169"/>
      <c r="K1169"/>
      <c r="L1169"/>
    </row>
    <row r="1170" spans="1:12">
      <c r="A1170"/>
      <c r="B1170"/>
      <c r="C1170"/>
      <c r="D1170"/>
      <c r="E1170"/>
      <c r="F1170"/>
      <c r="G1170"/>
      <c r="H1170"/>
      <c r="I1170"/>
      <c r="J1170"/>
      <c r="K1170"/>
      <c r="L1170"/>
    </row>
    <row r="1171" spans="1:12">
      <c r="A1171"/>
      <c r="B1171"/>
      <c r="C1171"/>
      <c r="D1171"/>
      <c r="E1171"/>
      <c r="F1171"/>
      <c r="G1171"/>
      <c r="H1171"/>
      <c r="I1171"/>
      <c r="J1171"/>
      <c r="K1171"/>
      <c r="L1171"/>
    </row>
    <row r="1172" spans="1:12">
      <c r="A1172"/>
      <c r="B1172"/>
      <c r="C1172"/>
      <c r="D1172"/>
      <c r="E1172"/>
      <c r="F1172"/>
      <c r="G1172"/>
      <c r="H1172"/>
      <c r="I1172"/>
      <c r="J1172"/>
      <c r="K1172"/>
      <c r="L1172"/>
    </row>
    <row r="1173" spans="1:12">
      <c r="A1173"/>
      <c r="B1173"/>
      <c r="C1173"/>
      <c r="D1173"/>
      <c r="E1173"/>
      <c r="F1173"/>
      <c r="G1173"/>
      <c r="H1173"/>
      <c r="I1173"/>
      <c r="J1173"/>
      <c r="K1173"/>
      <c r="L1173"/>
    </row>
    <row r="1174" spans="1:12">
      <c r="A1174"/>
      <c r="B1174"/>
      <c r="C1174"/>
      <c r="D1174"/>
      <c r="E1174"/>
      <c r="F1174"/>
      <c r="G1174"/>
      <c r="H1174"/>
      <c r="I1174"/>
      <c r="J1174"/>
      <c r="K1174"/>
      <c r="L1174"/>
    </row>
    <row r="1175" spans="1:12">
      <c r="A1175"/>
      <c r="B1175"/>
      <c r="C1175"/>
      <c r="D1175"/>
      <c r="E1175"/>
      <c r="F1175"/>
      <c r="G1175"/>
      <c r="H1175"/>
      <c r="I1175"/>
      <c r="J1175"/>
      <c r="K1175"/>
      <c r="L1175"/>
    </row>
    <row r="1176" spans="1:12">
      <c r="A1176"/>
      <c r="B1176"/>
      <c r="C1176"/>
      <c r="D1176"/>
      <c r="E1176"/>
      <c r="F1176"/>
      <c r="G1176"/>
      <c r="H1176"/>
      <c r="I1176"/>
      <c r="J1176"/>
      <c r="K1176"/>
      <c r="L1176"/>
    </row>
    <row r="1177" spans="1:12">
      <c r="A1177"/>
      <c r="B1177"/>
      <c r="C1177"/>
      <c r="D1177"/>
      <c r="E1177"/>
      <c r="F1177"/>
      <c r="G1177"/>
      <c r="H1177"/>
      <c r="I1177"/>
      <c r="J1177"/>
      <c r="K1177"/>
      <c r="L1177"/>
    </row>
    <row r="1178" spans="1:12">
      <c r="A1178"/>
      <c r="B1178"/>
      <c r="C1178"/>
      <c r="D1178"/>
      <c r="E1178"/>
      <c r="F1178"/>
      <c r="G1178"/>
      <c r="H1178"/>
      <c r="I1178"/>
      <c r="J1178"/>
      <c r="K1178"/>
      <c r="L1178"/>
    </row>
    <row r="1179" spans="1:12">
      <c r="A1179"/>
      <c r="B1179"/>
      <c r="C1179"/>
      <c r="D1179"/>
      <c r="E1179"/>
      <c r="F1179"/>
      <c r="G1179"/>
      <c r="H1179"/>
      <c r="I1179"/>
      <c r="J1179"/>
      <c r="K1179"/>
      <c r="L1179"/>
    </row>
    <row r="1180" spans="1:12">
      <c r="A1180"/>
      <c r="B1180"/>
      <c r="C1180"/>
      <c r="D1180"/>
      <c r="E1180"/>
      <c r="F1180"/>
      <c r="G1180"/>
      <c r="H1180"/>
      <c r="I1180"/>
      <c r="J1180"/>
      <c r="K1180"/>
      <c r="L1180"/>
    </row>
    <row r="1181" spans="1:12">
      <c r="A1181"/>
      <c r="B1181"/>
      <c r="C1181"/>
      <c r="D1181"/>
      <c r="E1181"/>
      <c r="F1181"/>
      <c r="G1181"/>
      <c r="H1181"/>
      <c r="I1181"/>
      <c r="J1181"/>
      <c r="K1181"/>
      <c r="L1181"/>
    </row>
    <row r="1182" spans="1:12">
      <c r="A1182"/>
      <c r="B1182"/>
      <c r="C1182"/>
      <c r="D1182"/>
      <c r="E1182"/>
      <c r="F1182"/>
      <c r="G1182"/>
      <c r="H1182"/>
      <c r="I1182"/>
      <c r="J1182"/>
      <c r="K1182"/>
      <c r="L1182"/>
    </row>
    <row r="1183" spans="1:12">
      <c r="A1183"/>
      <c r="B1183"/>
      <c r="C1183"/>
      <c r="D1183"/>
      <c r="E1183"/>
      <c r="F1183"/>
      <c r="G1183"/>
      <c r="H1183"/>
      <c r="I1183"/>
      <c r="J1183"/>
      <c r="K1183"/>
      <c r="L1183"/>
    </row>
    <row r="1184" spans="1:12">
      <c r="A1184"/>
      <c r="B1184"/>
      <c r="C1184"/>
      <c r="D1184"/>
      <c r="E1184"/>
      <c r="F1184"/>
      <c r="G1184"/>
      <c r="H1184"/>
      <c r="I1184"/>
      <c r="J1184"/>
      <c r="K1184"/>
      <c r="L1184"/>
    </row>
    <row r="1185" spans="1:12">
      <c r="A1185"/>
      <c r="B1185"/>
      <c r="C1185"/>
      <c r="D1185"/>
      <c r="E1185"/>
      <c r="F1185"/>
      <c r="G1185"/>
      <c r="H1185"/>
      <c r="I1185"/>
      <c r="J1185"/>
      <c r="K1185"/>
      <c r="L1185"/>
    </row>
    <row r="1186" spans="1:12">
      <c r="A1186"/>
      <c r="B1186"/>
      <c r="C1186"/>
      <c r="D1186"/>
      <c r="E1186"/>
      <c r="F1186"/>
      <c r="G1186"/>
      <c r="H1186"/>
      <c r="I1186"/>
      <c r="J1186"/>
      <c r="K1186"/>
      <c r="L1186"/>
    </row>
    <row r="1187" spans="1:12">
      <c r="A1187"/>
      <c r="B1187"/>
      <c r="C1187"/>
      <c r="D1187"/>
      <c r="E1187"/>
      <c r="F1187"/>
      <c r="G1187"/>
      <c r="H1187"/>
      <c r="I1187"/>
      <c r="J1187"/>
      <c r="K1187"/>
      <c r="L1187"/>
    </row>
    <row r="1188" spans="1:12">
      <c r="A1188"/>
      <c r="B1188"/>
      <c r="C1188"/>
      <c r="D1188"/>
      <c r="E1188"/>
      <c r="F1188"/>
      <c r="G1188"/>
      <c r="H1188"/>
      <c r="I1188"/>
      <c r="J1188"/>
      <c r="K1188"/>
      <c r="L1188"/>
    </row>
    <row r="1189" spans="1:12">
      <c r="A1189"/>
      <c r="B1189"/>
      <c r="C1189"/>
      <c r="D1189"/>
      <c r="E1189"/>
      <c r="F1189"/>
      <c r="G1189"/>
      <c r="H1189"/>
      <c r="I1189"/>
      <c r="J1189"/>
      <c r="K1189"/>
      <c r="L1189"/>
    </row>
    <row r="1190" spans="1:12">
      <c r="A1190"/>
      <c r="B1190"/>
      <c r="C1190"/>
      <c r="D1190"/>
      <c r="E1190"/>
      <c r="F1190"/>
      <c r="G1190"/>
      <c r="H1190"/>
      <c r="I1190"/>
      <c r="J1190"/>
      <c r="K1190"/>
      <c r="L1190"/>
    </row>
    <row r="1191" spans="1:12">
      <c r="A1191"/>
      <c r="B1191"/>
      <c r="C1191"/>
      <c r="D1191"/>
      <c r="E1191"/>
      <c r="F1191"/>
      <c r="G1191"/>
      <c r="H1191"/>
      <c r="I1191"/>
      <c r="J1191"/>
      <c r="K1191"/>
      <c r="L1191"/>
    </row>
    <row r="1192" spans="1:12">
      <c r="A1192"/>
      <c r="B1192"/>
      <c r="C1192"/>
      <c r="D1192"/>
      <c r="E1192"/>
      <c r="F1192"/>
      <c r="G1192"/>
      <c r="H1192"/>
      <c r="I1192"/>
      <c r="J1192"/>
      <c r="K1192"/>
      <c r="L1192"/>
    </row>
    <row r="1193" spans="1:12">
      <c r="A1193"/>
      <c r="B1193"/>
      <c r="C1193"/>
      <c r="D1193"/>
      <c r="E1193"/>
      <c r="F1193"/>
      <c r="G1193"/>
      <c r="H1193"/>
      <c r="I1193"/>
      <c r="J1193"/>
      <c r="K1193"/>
      <c r="L1193"/>
    </row>
    <row r="1194" spans="1:12">
      <c r="A1194"/>
      <c r="B1194"/>
      <c r="C1194"/>
      <c r="D1194"/>
      <c r="E1194"/>
      <c r="F1194"/>
      <c r="G1194"/>
      <c r="H1194"/>
      <c r="I1194"/>
      <c r="J1194"/>
      <c r="K1194"/>
      <c r="L1194"/>
    </row>
    <row r="1195" spans="1:12">
      <c r="A1195"/>
      <c r="B1195"/>
      <c r="C1195"/>
      <c r="D1195"/>
      <c r="E1195"/>
      <c r="F1195"/>
      <c r="G1195"/>
      <c r="H1195"/>
      <c r="I1195"/>
      <c r="J1195"/>
      <c r="K1195"/>
      <c r="L1195"/>
    </row>
    <row r="1196" spans="1:12">
      <c r="A1196"/>
      <c r="B1196"/>
      <c r="C1196"/>
      <c r="D1196"/>
      <c r="E1196"/>
      <c r="F1196"/>
      <c r="G1196"/>
      <c r="H1196"/>
      <c r="I1196"/>
      <c r="J1196"/>
      <c r="K1196"/>
      <c r="L1196"/>
    </row>
    <row r="1197" spans="1:12">
      <c r="A1197"/>
      <c r="B1197"/>
      <c r="C1197"/>
      <c r="D1197"/>
      <c r="E1197"/>
      <c r="F1197"/>
      <c r="G1197"/>
      <c r="H1197"/>
      <c r="I1197"/>
      <c r="J1197"/>
      <c r="K1197"/>
      <c r="L1197"/>
    </row>
    <row r="1198" spans="1:12">
      <c r="A1198"/>
      <c r="B1198"/>
      <c r="C1198"/>
      <c r="D1198"/>
      <c r="E1198"/>
      <c r="F1198"/>
      <c r="G1198"/>
      <c r="H1198"/>
      <c r="I1198"/>
      <c r="J1198"/>
      <c r="K1198"/>
      <c r="L1198"/>
    </row>
    <row r="1199" spans="1:12">
      <c r="A1199"/>
      <c r="B1199"/>
      <c r="C1199"/>
      <c r="D1199"/>
      <c r="E1199"/>
      <c r="F1199"/>
      <c r="G1199"/>
      <c r="H1199"/>
      <c r="I1199"/>
      <c r="J1199"/>
      <c r="K1199"/>
      <c r="L1199"/>
    </row>
    <row r="1200" spans="1:12">
      <c r="A1200"/>
      <c r="B1200"/>
      <c r="C1200"/>
      <c r="D1200"/>
      <c r="E1200"/>
      <c r="F1200"/>
      <c r="G1200"/>
      <c r="H1200"/>
      <c r="I1200"/>
      <c r="J1200"/>
      <c r="K1200"/>
      <c r="L1200"/>
    </row>
    <row r="1201" spans="1:12">
      <c r="A1201"/>
      <c r="B1201"/>
      <c r="C1201"/>
      <c r="D1201"/>
      <c r="E1201"/>
      <c r="F1201"/>
      <c r="G1201"/>
      <c r="H1201"/>
      <c r="I1201"/>
      <c r="J1201"/>
      <c r="K1201"/>
      <c r="L1201"/>
    </row>
    <row r="1202" spans="1:12">
      <c r="A1202"/>
      <c r="B1202"/>
      <c r="C1202"/>
      <c r="D1202"/>
      <c r="E1202"/>
      <c r="F1202"/>
      <c r="G1202"/>
      <c r="H1202"/>
      <c r="I1202"/>
      <c r="J1202"/>
      <c r="K1202"/>
      <c r="L1202"/>
    </row>
    <row r="1203" spans="1:12">
      <c r="A1203"/>
      <c r="B1203"/>
      <c r="C1203"/>
      <c r="D1203"/>
      <c r="E1203"/>
      <c r="F1203"/>
      <c r="G1203"/>
      <c r="H1203"/>
      <c r="I1203"/>
      <c r="J1203"/>
      <c r="K1203"/>
      <c r="L1203"/>
    </row>
    <row r="1204" spans="1:12">
      <c r="A1204"/>
      <c r="B1204"/>
      <c r="C1204"/>
      <c r="D1204"/>
      <c r="E1204"/>
      <c r="F1204"/>
      <c r="G1204"/>
      <c r="H1204"/>
      <c r="I1204"/>
      <c r="J1204"/>
      <c r="K1204"/>
      <c r="L1204"/>
    </row>
    <row r="1205" spans="1:12">
      <c r="A1205"/>
      <c r="B1205"/>
      <c r="C1205"/>
      <c r="D1205"/>
      <c r="E1205"/>
      <c r="F1205"/>
      <c r="G1205"/>
      <c r="H1205"/>
      <c r="I1205"/>
      <c r="J1205"/>
      <c r="K1205"/>
      <c r="L1205"/>
    </row>
    <row r="1206" spans="1:12">
      <c r="A1206"/>
      <c r="B1206"/>
      <c r="C1206"/>
      <c r="D1206"/>
      <c r="E1206"/>
      <c r="F1206"/>
      <c r="G1206"/>
      <c r="H1206"/>
      <c r="I1206"/>
      <c r="J1206"/>
      <c r="K1206"/>
      <c r="L1206"/>
    </row>
    <row r="1207" spans="1:12">
      <c r="A1207"/>
      <c r="B1207"/>
      <c r="C1207"/>
      <c r="D1207"/>
      <c r="E1207"/>
      <c r="F1207"/>
      <c r="G1207"/>
      <c r="H1207"/>
      <c r="I1207"/>
      <c r="J1207"/>
      <c r="K1207"/>
      <c r="L1207"/>
    </row>
    <row r="1208" spans="1:12">
      <c r="A1208"/>
      <c r="B1208"/>
      <c r="C1208"/>
      <c r="D1208"/>
      <c r="E1208"/>
      <c r="F1208"/>
      <c r="G1208"/>
      <c r="H1208"/>
      <c r="I1208"/>
      <c r="J1208"/>
      <c r="K1208"/>
      <c r="L1208"/>
    </row>
    <row r="1209" spans="1:12">
      <c r="A1209"/>
      <c r="B1209"/>
      <c r="C1209"/>
      <c r="D1209"/>
      <c r="E1209"/>
      <c r="F1209"/>
      <c r="G1209"/>
      <c r="H1209"/>
      <c r="I1209"/>
      <c r="J1209"/>
      <c r="K1209"/>
      <c r="L1209"/>
    </row>
    <row r="1210" spans="1:12">
      <c r="A1210"/>
      <c r="B1210"/>
      <c r="C1210"/>
      <c r="D1210"/>
      <c r="E1210"/>
      <c r="F1210"/>
      <c r="G1210"/>
      <c r="H1210"/>
      <c r="I1210"/>
      <c r="J1210"/>
      <c r="K1210"/>
      <c r="L1210"/>
    </row>
    <row r="1211" spans="1:12">
      <c r="A1211"/>
      <c r="B1211"/>
      <c r="C1211"/>
      <c r="D1211"/>
      <c r="E1211"/>
      <c r="F1211"/>
      <c r="G1211"/>
      <c r="H1211"/>
      <c r="I1211"/>
      <c r="J1211"/>
      <c r="K1211"/>
      <c r="L1211"/>
    </row>
    <row r="1212" spans="1:12">
      <c r="A1212"/>
      <c r="B1212"/>
      <c r="C1212"/>
      <c r="D1212"/>
      <c r="E1212"/>
      <c r="F1212"/>
      <c r="G1212"/>
      <c r="H1212"/>
      <c r="I1212"/>
      <c r="J1212"/>
      <c r="K1212"/>
      <c r="L1212"/>
    </row>
    <row r="1213" spans="1:12">
      <c r="A1213"/>
      <c r="B1213"/>
      <c r="C1213"/>
      <c r="D1213"/>
      <c r="E1213"/>
      <c r="F1213"/>
      <c r="G1213"/>
      <c r="H1213"/>
      <c r="I1213"/>
      <c r="J1213"/>
      <c r="K1213"/>
      <c r="L1213"/>
    </row>
    <row r="1214" spans="1:12">
      <c r="A1214"/>
      <c r="B1214"/>
      <c r="C1214"/>
      <c r="D1214"/>
      <c r="E1214"/>
      <c r="F1214"/>
      <c r="G1214"/>
      <c r="H1214"/>
      <c r="I1214"/>
      <c r="J1214"/>
      <c r="K1214"/>
      <c r="L1214"/>
    </row>
    <row r="1215" spans="1:12">
      <c r="A1215"/>
      <c r="B1215"/>
      <c r="C1215"/>
      <c r="D1215"/>
      <c r="E1215"/>
      <c r="F1215"/>
      <c r="G1215"/>
      <c r="H1215"/>
      <c r="I1215"/>
      <c r="J1215"/>
      <c r="K1215"/>
      <c r="L1215"/>
    </row>
    <row r="1216" spans="1:12">
      <c r="A1216"/>
      <c r="B1216"/>
      <c r="C1216"/>
      <c r="D1216"/>
      <c r="E1216"/>
      <c r="F1216"/>
      <c r="G1216"/>
      <c r="H1216"/>
      <c r="I1216"/>
      <c r="J1216"/>
      <c r="K1216"/>
      <c r="L1216"/>
    </row>
    <row r="1217" spans="1:12">
      <c r="A1217"/>
      <c r="B1217"/>
      <c r="C1217"/>
      <c r="D1217"/>
      <c r="E1217"/>
      <c r="F1217"/>
      <c r="G1217"/>
      <c r="H1217"/>
      <c r="I1217"/>
      <c r="J1217"/>
      <c r="K1217"/>
      <c r="L1217"/>
    </row>
    <row r="1218" spans="1:12">
      <c r="A1218"/>
      <c r="B1218"/>
      <c r="C1218"/>
      <c r="D1218"/>
      <c r="E1218"/>
      <c r="F1218"/>
      <c r="G1218"/>
      <c r="H1218"/>
      <c r="I1218"/>
      <c r="J1218"/>
      <c r="K1218"/>
      <c r="L1218"/>
    </row>
    <row r="1219" spans="1:12">
      <c r="A1219"/>
      <c r="B1219"/>
      <c r="C1219"/>
      <c r="D1219"/>
      <c r="E1219"/>
      <c r="F1219"/>
      <c r="G1219"/>
      <c r="H1219"/>
      <c r="I1219"/>
      <c r="J1219"/>
      <c r="K1219"/>
      <c r="L1219"/>
    </row>
    <row r="1220" spans="1:12">
      <c r="A1220"/>
      <c r="B1220"/>
      <c r="C1220"/>
      <c r="D1220"/>
      <c r="E1220"/>
      <c r="F1220"/>
      <c r="G1220"/>
      <c r="H1220"/>
      <c r="I1220"/>
      <c r="J1220"/>
      <c r="K1220"/>
      <c r="L1220"/>
    </row>
    <row r="1221" spans="1:12">
      <c r="A1221"/>
      <c r="B1221"/>
      <c r="C1221"/>
      <c r="D1221"/>
      <c r="E1221"/>
      <c r="F1221"/>
      <c r="G1221"/>
      <c r="H1221"/>
      <c r="I1221"/>
      <c r="J1221"/>
      <c r="K1221"/>
      <c r="L1221"/>
    </row>
    <row r="1222" spans="1:12">
      <c r="A1222"/>
      <c r="B1222"/>
      <c r="C1222"/>
      <c r="D1222"/>
      <c r="E1222"/>
      <c r="F1222"/>
      <c r="G1222"/>
      <c r="H1222"/>
      <c r="I1222"/>
      <c r="J1222"/>
      <c r="K1222"/>
      <c r="L1222"/>
    </row>
    <row r="1223" spans="1:12">
      <c r="A1223"/>
      <c r="B1223"/>
      <c r="C1223"/>
      <c r="D1223"/>
      <c r="E1223"/>
      <c r="F1223"/>
      <c r="G1223"/>
      <c r="H1223"/>
      <c r="I1223"/>
      <c r="J1223"/>
      <c r="K1223"/>
      <c r="L1223"/>
    </row>
    <row r="1224" spans="1:12">
      <c r="A1224"/>
      <c r="B1224"/>
      <c r="C1224"/>
      <c r="D1224"/>
      <c r="E1224"/>
      <c r="F1224"/>
      <c r="G1224"/>
      <c r="H1224"/>
      <c r="I1224"/>
      <c r="J1224"/>
      <c r="K1224"/>
      <c r="L1224"/>
    </row>
    <row r="1225" spans="1:12">
      <c r="A1225"/>
      <c r="B1225"/>
      <c r="C1225"/>
      <c r="D1225"/>
      <c r="E1225"/>
      <c r="F1225"/>
      <c r="G1225"/>
      <c r="H1225"/>
      <c r="I1225"/>
      <c r="J1225"/>
      <c r="K1225"/>
      <c r="L1225"/>
    </row>
    <row r="1226" spans="1:12">
      <c r="A1226"/>
      <c r="B1226"/>
      <c r="C1226"/>
      <c r="D1226"/>
      <c r="E1226"/>
      <c r="F1226"/>
      <c r="G1226"/>
      <c r="H1226"/>
      <c r="I1226"/>
      <c r="J1226"/>
      <c r="K1226"/>
      <c r="L1226"/>
    </row>
    <row r="1227" spans="1:12">
      <c r="A1227"/>
      <c r="B1227"/>
      <c r="C1227"/>
      <c r="D1227"/>
      <c r="E1227"/>
      <c r="F1227"/>
      <c r="G1227"/>
      <c r="H1227"/>
      <c r="I1227"/>
      <c r="J1227"/>
      <c r="K1227"/>
      <c r="L1227"/>
    </row>
    <row r="1228" spans="1:12">
      <c r="A1228"/>
      <c r="B1228"/>
      <c r="C1228"/>
      <c r="D1228"/>
      <c r="E1228"/>
      <c r="F1228"/>
      <c r="G1228"/>
      <c r="H1228"/>
      <c r="I1228"/>
      <c r="J1228"/>
      <c r="K1228"/>
      <c r="L1228"/>
    </row>
    <row r="1229" spans="1:12">
      <c r="A1229"/>
      <c r="B1229"/>
      <c r="C1229"/>
      <c r="D1229"/>
      <c r="E1229"/>
      <c r="F1229"/>
      <c r="G1229"/>
      <c r="H1229"/>
      <c r="I1229"/>
      <c r="J1229"/>
      <c r="K1229"/>
      <c r="L1229"/>
    </row>
    <row r="1230" spans="1:12">
      <c r="A1230"/>
      <c r="B1230"/>
      <c r="C1230"/>
      <c r="D1230"/>
      <c r="E1230"/>
      <c r="F1230"/>
      <c r="G1230"/>
      <c r="H1230"/>
      <c r="I1230"/>
      <c r="J1230"/>
      <c r="K1230"/>
      <c r="L1230"/>
    </row>
    <row r="1231" spans="1:12">
      <c r="A1231"/>
      <c r="B1231"/>
      <c r="C1231"/>
      <c r="D1231"/>
      <c r="E1231"/>
      <c r="F1231"/>
      <c r="G1231"/>
      <c r="H1231"/>
      <c r="I1231"/>
      <c r="J1231"/>
      <c r="K1231"/>
      <c r="L1231"/>
    </row>
    <row r="1232" spans="1:12">
      <c r="A1232"/>
      <c r="B1232"/>
      <c r="C1232"/>
      <c r="D1232"/>
      <c r="E1232"/>
      <c r="F1232"/>
      <c r="G1232"/>
      <c r="H1232"/>
      <c r="I1232"/>
      <c r="J1232"/>
      <c r="K1232"/>
      <c r="L1232"/>
    </row>
    <row r="1233" spans="1:12">
      <c r="A1233"/>
      <c r="B1233"/>
      <c r="C1233"/>
      <c r="D1233"/>
      <c r="E1233"/>
      <c r="F1233"/>
      <c r="G1233"/>
      <c r="H1233"/>
      <c r="I1233"/>
      <c r="J1233"/>
      <c r="K1233"/>
      <c r="L1233"/>
    </row>
    <row r="1234" spans="1:12">
      <c r="A1234"/>
      <c r="B1234"/>
      <c r="C1234"/>
      <c r="D1234"/>
      <c r="E1234"/>
      <c r="F1234"/>
      <c r="G1234"/>
      <c r="H1234"/>
      <c r="I1234"/>
      <c r="J1234"/>
      <c r="K1234"/>
      <c r="L1234"/>
    </row>
    <row r="1235" spans="1:12">
      <c r="A1235"/>
      <c r="B1235"/>
      <c r="C1235"/>
      <c r="D1235"/>
      <c r="E1235"/>
      <c r="F1235"/>
      <c r="G1235"/>
      <c r="H1235"/>
      <c r="I1235"/>
      <c r="J1235"/>
      <c r="K1235"/>
      <c r="L1235"/>
    </row>
    <row r="1236" spans="1:12">
      <c r="A1236"/>
      <c r="B1236"/>
      <c r="C1236"/>
      <c r="D1236"/>
      <c r="E1236"/>
      <c r="F1236"/>
      <c r="G1236"/>
      <c r="H1236"/>
      <c r="I1236"/>
      <c r="J1236"/>
      <c r="K1236"/>
      <c r="L1236"/>
    </row>
    <row r="1237" spans="1:12">
      <c r="A1237"/>
      <c r="B1237"/>
      <c r="C1237"/>
      <c r="D1237"/>
      <c r="E1237"/>
      <c r="F1237"/>
      <c r="G1237"/>
      <c r="H1237"/>
      <c r="I1237"/>
      <c r="J1237"/>
      <c r="K1237"/>
      <c r="L1237"/>
    </row>
    <row r="1238" spans="1:12">
      <c r="A1238"/>
      <c r="B1238"/>
      <c r="C1238"/>
      <c r="D1238"/>
      <c r="E1238"/>
      <c r="F1238"/>
      <c r="G1238"/>
      <c r="H1238"/>
      <c r="I1238"/>
      <c r="J1238"/>
      <c r="K1238"/>
      <c r="L1238"/>
    </row>
    <row r="1239" spans="1:12">
      <c r="A1239"/>
      <c r="B1239"/>
      <c r="C1239"/>
      <c r="D1239"/>
      <c r="E1239"/>
      <c r="F1239"/>
      <c r="G1239"/>
      <c r="H1239"/>
      <c r="I1239"/>
      <c r="J1239"/>
      <c r="K1239"/>
      <c r="L1239"/>
    </row>
    <row r="1240" spans="1:12">
      <c r="A1240"/>
      <c r="B1240"/>
      <c r="C1240"/>
      <c r="D1240"/>
      <c r="E1240"/>
      <c r="F1240"/>
      <c r="G1240"/>
      <c r="H1240"/>
      <c r="I1240"/>
      <c r="J1240"/>
      <c r="K1240"/>
      <c r="L1240"/>
    </row>
    <row r="1241" spans="1:12">
      <c r="A1241"/>
      <c r="B1241"/>
      <c r="C1241"/>
      <c r="D1241"/>
      <c r="E1241"/>
      <c r="F1241"/>
      <c r="G1241"/>
      <c r="H1241"/>
      <c r="I1241"/>
      <c r="J1241"/>
      <c r="K1241"/>
      <c r="L1241"/>
    </row>
    <row r="1242" spans="1:12">
      <c r="A1242"/>
      <c r="B1242"/>
      <c r="C1242"/>
      <c r="D1242"/>
      <c r="E1242"/>
      <c r="F1242"/>
      <c r="G1242"/>
      <c r="H1242"/>
      <c r="I1242"/>
      <c r="J1242"/>
      <c r="K1242"/>
      <c r="L1242"/>
    </row>
    <row r="1243" spans="1:12">
      <c r="A1243"/>
      <c r="B1243"/>
      <c r="C1243"/>
      <c r="D1243"/>
      <c r="E1243"/>
      <c r="F1243"/>
      <c r="G1243"/>
      <c r="H1243"/>
      <c r="I1243"/>
      <c r="J1243"/>
      <c r="K1243"/>
      <c r="L1243"/>
    </row>
    <row r="1244" spans="1:12">
      <c r="A1244"/>
      <c r="B1244"/>
      <c r="C1244"/>
      <c r="D1244"/>
      <c r="E1244"/>
      <c r="F1244"/>
      <c r="G1244"/>
      <c r="H1244"/>
      <c r="I1244"/>
      <c r="J1244"/>
      <c r="K1244"/>
      <c r="L1244"/>
    </row>
    <row r="1245" spans="1:12">
      <c r="A1245"/>
      <c r="B1245"/>
      <c r="C1245"/>
      <c r="D1245"/>
      <c r="E1245"/>
      <c r="F1245"/>
      <c r="G1245"/>
      <c r="H1245"/>
      <c r="I1245"/>
      <c r="J1245"/>
      <c r="K1245"/>
      <c r="L1245"/>
    </row>
    <row r="1246" spans="1:12">
      <c r="A1246"/>
      <c r="B1246"/>
      <c r="C1246"/>
      <c r="D1246"/>
      <c r="E1246"/>
      <c r="F1246"/>
      <c r="G1246"/>
      <c r="H1246"/>
      <c r="I1246"/>
      <c r="J1246"/>
      <c r="K1246"/>
      <c r="L1246"/>
    </row>
    <row r="1247" spans="1:12">
      <c r="A1247"/>
      <c r="B1247"/>
      <c r="C1247"/>
      <c r="D1247"/>
      <c r="E1247"/>
      <c r="F1247"/>
      <c r="G1247"/>
      <c r="H1247"/>
      <c r="I1247"/>
      <c r="J1247"/>
      <c r="K1247"/>
      <c r="L1247"/>
    </row>
    <row r="1248" spans="1:12">
      <c r="A1248"/>
      <c r="B1248"/>
      <c r="C1248"/>
      <c r="D1248"/>
      <c r="E1248"/>
      <c r="F1248"/>
      <c r="G1248"/>
      <c r="H1248"/>
      <c r="I1248"/>
      <c r="J1248"/>
      <c r="K1248"/>
      <c r="L1248"/>
    </row>
    <row r="1249" spans="1:12">
      <c r="A1249"/>
      <c r="B1249"/>
      <c r="C1249"/>
      <c r="D1249"/>
      <c r="E1249"/>
      <c r="F1249"/>
      <c r="G1249"/>
      <c r="H1249"/>
      <c r="I1249"/>
      <c r="J1249"/>
      <c r="K1249"/>
      <c r="L1249"/>
    </row>
    <row r="1250" spans="1:12">
      <c r="A1250"/>
      <c r="B1250"/>
      <c r="C1250"/>
      <c r="D1250"/>
      <c r="E1250"/>
      <c r="F1250"/>
      <c r="G1250"/>
      <c r="H1250"/>
      <c r="I1250"/>
      <c r="J1250"/>
      <c r="K1250"/>
      <c r="L1250"/>
    </row>
    <row r="1251" spans="1:12">
      <c r="A1251"/>
      <c r="B1251"/>
      <c r="C1251"/>
      <c r="D1251"/>
      <c r="E1251"/>
      <c r="F1251"/>
      <c r="G1251"/>
      <c r="H1251"/>
      <c r="I1251"/>
      <c r="J1251"/>
      <c r="K1251"/>
      <c r="L1251"/>
    </row>
    <row r="1252" spans="1:12">
      <c r="A1252"/>
      <c r="B1252"/>
      <c r="C1252"/>
      <c r="D1252"/>
      <c r="E1252"/>
      <c r="F1252"/>
      <c r="G1252"/>
      <c r="H1252"/>
      <c r="I1252"/>
      <c r="J1252"/>
      <c r="K1252"/>
      <c r="L1252"/>
    </row>
    <row r="1253" spans="1:12">
      <c r="A1253"/>
      <c r="B1253"/>
      <c r="C1253"/>
      <c r="D1253"/>
      <c r="E1253"/>
      <c r="F1253"/>
      <c r="G1253"/>
      <c r="H1253"/>
      <c r="I1253"/>
      <c r="J1253"/>
      <c r="K1253"/>
      <c r="L1253"/>
    </row>
    <row r="1254" spans="1:12">
      <c r="A1254"/>
      <c r="B1254"/>
      <c r="C1254"/>
      <c r="D1254"/>
      <c r="E1254"/>
      <c r="F1254"/>
      <c r="G1254"/>
      <c r="H1254"/>
      <c r="I1254"/>
      <c r="J1254"/>
      <c r="K1254"/>
      <c r="L1254"/>
    </row>
    <row r="1255" spans="1:12">
      <c r="A1255"/>
      <c r="B1255"/>
      <c r="C1255"/>
      <c r="D1255"/>
      <c r="E1255"/>
      <c r="F1255"/>
      <c r="G1255"/>
      <c r="H1255"/>
      <c r="I1255"/>
      <c r="J1255"/>
      <c r="K1255"/>
      <c r="L1255"/>
    </row>
    <row r="1256" spans="1:12">
      <c r="A1256"/>
      <c r="B1256"/>
      <c r="C1256"/>
      <c r="D1256"/>
      <c r="E1256"/>
      <c r="F1256"/>
      <c r="G1256"/>
      <c r="H1256"/>
      <c r="I1256"/>
      <c r="J1256"/>
      <c r="K1256"/>
      <c r="L1256"/>
    </row>
    <row r="1257" spans="1:12">
      <c r="A1257"/>
      <c r="B1257"/>
      <c r="C1257"/>
      <c r="D1257"/>
      <c r="E1257"/>
      <c r="F1257"/>
      <c r="G1257"/>
      <c r="H1257"/>
      <c r="I1257"/>
      <c r="J1257"/>
      <c r="K1257"/>
      <c r="L1257"/>
    </row>
    <row r="1258" spans="1:12">
      <c r="A1258"/>
      <c r="B1258"/>
      <c r="C1258"/>
      <c r="D1258"/>
      <c r="E1258"/>
      <c r="F1258"/>
      <c r="G1258"/>
      <c r="H1258"/>
      <c r="I1258"/>
      <c r="J1258"/>
      <c r="K1258"/>
      <c r="L1258"/>
    </row>
    <row r="1259" spans="1:12">
      <c r="A1259"/>
      <c r="B1259"/>
      <c r="C1259"/>
      <c r="D1259"/>
      <c r="E1259"/>
      <c r="F1259"/>
      <c r="G1259"/>
      <c r="H1259"/>
      <c r="I1259"/>
      <c r="J1259"/>
      <c r="K1259"/>
      <c r="L1259"/>
    </row>
    <row r="1260" spans="1:12">
      <c r="A1260"/>
      <c r="B1260"/>
      <c r="C1260"/>
      <c r="D1260"/>
      <c r="E1260"/>
      <c r="F1260"/>
      <c r="G1260"/>
      <c r="H1260"/>
      <c r="I1260"/>
      <c r="J1260"/>
      <c r="K1260"/>
      <c r="L1260"/>
    </row>
    <row r="1261" spans="1:12">
      <c r="A1261"/>
      <c r="B1261"/>
      <c r="C1261"/>
      <c r="D1261"/>
      <c r="E1261"/>
      <c r="F1261"/>
      <c r="G1261"/>
      <c r="H1261"/>
      <c r="I1261"/>
      <c r="J1261"/>
      <c r="K1261"/>
      <c r="L1261"/>
    </row>
    <row r="1262" spans="1:12">
      <c r="A1262"/>
      <c r="B1262"/>
      <c r="C1262"/>
      <c r="D1262"/>
      <c r="E1262"/>
      <c r="F1262"/>
      <c r="G1262"/>
      <c r="H1262"/>
      <c r="I1262"/>
      <c r="J1262"/>
      <c r="K1262"/>
      <c r="L1262"/>
    </row>
    <row r="1263" spans="1:12">
      <c r="A1263"/>
      <c r="B1263"/>
      <c r="C1263"/>
      <c r="D1263"/>
      <c r="E1263"/>
      <c r="F1263"/>
      <c r="G1263"/>
      <c r="H1263"/>
      <c r="I1263"/>
      <c r="J1263"/>
      <c r="K1263"/>
      <c r="L1263"/>
    </row>
    <row r="1264" spans="1:12">
      <c r="A1264"/>
      <c r="B1264"/>
      <c r="C1264"/>
      <c r="D1264"/>
      <c r="E1264"/>
      <c r="F1264"/>
      <c r="G1264"/>
      <c r="H1264"/>
      <c r="I1264"/>
      <c r="J1264"/>
      <c r="K1264"/>
      <c r="L1264"/>
    </row>
    <row r="1265" spans="1:12">
      <c r="A1265"/>
      <c r="B1265"/>
      <c r="C1265"/>
      <c r="D1265"/>
      <c r="E1265"/>
      <c r="F1265"/>
      <c r="G1265"/>
      <c r="H1265"/>
      <c r="I1265"/>
      <c r="J1265"/>
      <c r="K1265"/>
      <c r="L1265"/>
    </row>
    <row r="1266" spans="1:12">
      <c r="A1266"/>
      <c r="B1266"/>
      <c r="C1266"/>
      <c r="D1266"/>
      <c r="E1266"/>
      <c r="F1266"/>
      <c r="G1266"/>
      <c r="H1266"/>
      <c r="I1266"/>
      <c r="J1266"/>
      <c r="K1266"/>
      <c r="L1266"/>
    </row>
    <row r="1267" spans="1:12">
      <c r="A1267"/>
      <c r="B1267"/>
      <c r="C1267"/>
      <c r="D1267"/>
      <c r="E1267"/>
      <c r="F1267"/>
      <c r="G1267"/>
      <c r="H1267"/>
      <c r="I1267"/>
      <c r="J1267"/>
      <c r="K1267"/>
      <c r="L1267"/>
    </row>
    <row r="1268" spans="1:12">
      <c r="A1268"/>
      <c r="B1268"/>
      <c r="C1268"/>
      <c r="D1268"/>
      <c r="E1268"/>
      <c r="F1268"/>
      <c r="G1268"/>
      <c r="H1268"/>
      <c r="I1268"/>
      <c r="J1268"/>
      <c r="K1268"/>
      <c r="L1268"/>
    </row>
    <row r="1269" spans="1:12">
      <c r="A1269"/>
      <c r="B1269"/>
      <c r="C1269"/>
      <c r="D1269"/>
      <c r="E1269"/>
      <c r="F1269"/>
      <c r="G1269"/>
      <c r="H1269"/>
      <c r="I1269"/>
      <c r="J1269"/>
      <c r="K1269"/>
      <c r="L1269"/>
    </row>
    <row r="1270" spans="1:12">
      <c r="A1270"/>
      <c r="B1270"/>
      <c r="C1270"/>
      <c r="D1270"/>
      <c r="E1270"/>
      <c r="F1270"/>
      <c r="G1270"/>
      <c r="H1270"/>
      <c r="I1270"/>
      <c r="J1270"/>
      <c r="K1270"/>
      <c r="L1270"/>
    </row>
    <row r="1271" spans="1:12">
      <c r="A1271"/>
      <c r="B1271"/>
      <c r="C1271"/>
      <c r="D1271"/>
      <c r="E1271"/>
      <c r="F1271"/>
      <c r="G1271"/>
      <c r="H1271"/>
      <c r="I1271"/>
      <c r="J1271"/>
      <c r="K1271"/>
      <c r="L1271"/>
    </row>
    <row r="1272" spans="1:12">
      <c r="A1272"/>
      <c r="B1272"/>
      <c r="C1272"/>
      <c r="D1272"/>
      <c r="E1272"/>
      <c r="F1272"/>
      <c r="G1272"/>
      <c r="H1272"/>
      <c r="I1272"/>
      <c r="J1272"/>
      <c r="K1272"/>
      <c r="L1272"/>
    </row>
    <row r="1273" spans="1:12">
      <c r="A1273"/>
      <c r="B1273"/>
      <c r="C1273"/>
      <c r="D1273"/>
      <c r="E1273"/>
      <c r="F1273"/>
      <c r="G1273"/>
      <c r="H1273"/>
      <c r="I1273"/>
      <c r="J1273"/>
      <c r="K1273"/>
      <c r="L1273"/>
    </row>
    <row r="1274" spans="1:12">
      <c r="A1274"/>
      <c r="B1274"/>
      <c r="C1274"/>
      <c r="D1274"/>
      <c r="E1274"/>
      <c r="F1274"/>
      <c r="G1274"/>
      <c r="H1274"/>
      <c r="I1274"/>
      <c r="J1274"/>
      <c r="K1274"/>
      <c r="L1274"/>
    </row>
    <row r="1275" spans="1:12">
      <c r="A1275"/>
      <c r="B1275"/>
      <c r="C1275"/>
      <c r="D1275"/>
      <c r="E1275"/>
      <c r="F1275"/>
      <c r="G1275"/>
      <c r="H1275"/>
      <c r="I1275"/>
      <c r="J1275"/>
      <c r="K1275"/>
      <c r="L1275"/>
    </row>
    <row r="1276" spans="1:12">
      <c r="A1276"/>
      <c r="B1276"/>
      <c r="C1276"/>
      <c r="D1276"/>
      <c r="E1276"/>
      <c r="F1276"/>
      <c r="G1276"/>
      <c r="H1276"/>
      <c r="I1276"/>
      <c r="J1276"/>
      <c r="K1276"/>
      <c r="L1276"/>
    </row>
    <row r="1277" spans="1:12">
      <c r="A1277"/>
      <c r="B1277"/>
      <c r="C1277"/>
      <c r="D1277"/>
      <c r="E1277"/>
      <c r="F1277"/>
      <c r="G1277"/>
      <c r="H1277"/>
      <c r="I1277"/>
      <c r="J1277"/>
      <c r="K1277"/>
      <c r="L1277"/>
    </row>
    <row r="1278" spans="1:12">
      <c r="A1278"/>
      <c r="B1278"/>
      <c r="C1278"/>
      <c r="D1278"/>
      <c r="E1278"/>
      <c r="F1278"/>
      <c r="G1278"/>
      <c r="H1278"/>
      <c r="I1278"/>
      <c r="J1278"/>
      <c r="K1278"/>
      <c r="L1278"/>
    </row>
    <row r="1279" spans="1:12">
      <c r="A1279"/>
      <c r="B1279"/>
      <c r="C1279"/>
      <c r="D1279"/>
      <c r="E1279"/>
      <c r="F1279"/>
      <c r="G1279"/>
      <c r="H1279"/>
      <c r="I1279"/>
      <c r="J1279"/>
      <c r="K1279"/>
      <c r="L1279"/>
    </row>
    <row r="1280" spans="1:12">
      <c r="A1280"/>
      <c r="B1280"/>
      <c r="C1280"/>
      <c r="D1280"/>
      <c r="E1280"/>
      <c r="F1280"/>
      <c r="G1280"/>
      <c r="H1280"/>
      <c r="I1280"/>
      <c r="J1280"/>
      <c r="K1280"/>
      <c r="L1280"/>
    </row>
    <row r="1281" spans="1:12">
      <c r="A1281"/>
      <c r="B1281"/>
      <c r="C1281"/>
      <c r="D1281"/>
      <c r="E1281"/>
      <c r="F1281"/>
      <c r="G1281"/>
      <c r="H1281"/>
      <c r="I1281"/>
      <c r="J1281"/>
      <c r="K1281"/>
      <c r="L1281"/>
    </row>
    <row r="1282" spans="1:12">
      <c r="A1282"/>
      <c r="B1282"/>
      <c r="C1282"/>
      <c r="D1282"/>
      <c r="E1282"/>
      <c r="F1282"/>
      <c r="G1282"/>
      <c r="H1282"/>
      <c r="I1282"/>
      <c r="J1282"/>
      <c r="K1282"/>
      <c r="L1282"/>
    </row>
    <row r="1283" spans="1:12">
      <c r="A1283"/>
      <c r="B1283"/>
      <c r="C1283"/>
      <c r="D1283"/>
      <c r="E1283"/>
      <c r="F1283"/>
      <c r="G1283"/>
      <c r="H1283"/>
      <c r="I1283"/>
      <c r="J1283"/>
      <c r="K1283"/>
      <c r="L1283"/>
    </row>
    <row r="1284" spans="1:12">
      <c r="A1284"/>
      <c r="B1284"/>
      <c r="C1284"/>
      <c r="D1284"/>
      <c r="E1284"/>
      <c r="F1284"/>
      <c r="G1284"/>
      <c r="H1284"/>
      <c r="I1284"/>
      <c r="J1284"/>
      <c r="K1284"/>
      <c r="L1284"/>
    </row>
    <row r="1285" spans="1:12">
      <c r="A1285"/>
      <c r="B1285"/>
      <c r="C1285"/>
      <c r="D1285"/>
      <c r="E1285"/>
      <c r="F1285"/>
      <c r="G1285"/>
      <c r="H1285"/>
      <c r="I1285"/>
      <c r="J1285"/>
      <c r="K1285"/>
      <c r="L1285"/>
    </row>
    <row r="1286" spans="1:12">
      <c r="A1286"/>
      <c r="B1286"/>
      <c r="C1286"/>
      <c r="D1286"/>
      <c r="E1286"/>
      <c r="F1286"/>
      <c r="G1286"/>
      <c r="H1286"/>
      <c r="I1286"/>
      <c r="J1286"/>
      <c r="K1286"/>
      <c r="L1286"/>
    </row>
    <row r="1287" spans="1:12">
      <c r="A1287"/>
      <c r="B1287"/>
      <c r="C1287"/>
      <c r="D1287"/>
      <c r="E1287"/>
      <c r="F1287"/>
      <c r="G1287"/>
      <c r="H1287"/>
      <c r="I1287"/>
      <c r="J1287"/>
      <c r="K1287"/>
      <c r="L1287"/>
    </row>
    <row r="1288" spans="1:12">
      <c r="A1288"/>
      <c r="B1288"/>
      <c r="C1288"/>
      <c r="D1288"/>
      <c r="E1288"/>
      <c r="F1288"/>
      <c r="G1288"/>
      <c r="H1288"/>
      <c r="I1288"/>
      <c r="J1288"/>
      <c r="K1288"/>
      <c r="L1288"/>
    </row>
    <row r="1289" spans="1:12">
      <c r="A1289"/>
      <c r="B1289"/>
      <c r="C1289"/>
      <c r="D1289"/>
      <c r="E1289"/>
      <c r="F1289"/>
      <c r="G1289"/>
      <c r="H1289"/>
      <c r="I1289"/>
      <c r="J1289"/>
      <c r="K1289"/>
      <c r="L1289"/>
    </row>
    <row r="1290" spans="1:12">
      <c r="A1290"/>
      <c r="B1290"/>
      <c r="C1290"/>
      <c r="D1290"/>
      <c r="E1290"/>
      <c r="F1290"/>
      <c r="G1290"/>
      <c r="H1290"/>
      <c r="I1290"/>
      <c r="J1290"/>
      <c r="K1290"/>
      <c r="L1290"/>
    </row>
    <row r="1291" spans="1:12">
      <c r="A1291"/>
      <c r="B1291"/>
      <c r="C1291"/>
      <c r="D1291"/>
      <c r="E1291"/>
      <c r="F1291"/>
      <c r="G1291"/>
      <c r="H1291"/>
      <c r="I1291"/>
      <c r="J1291"/>
      <c r="K1291"/>
      <c r="L1291"/>
    </row>
    <row r="1292" spans="1:12">
      <c r="A1292"/>
      <c r="B1292"/>
      <c r="C1292"/>
      <c r="D1292"/>
      <c r="E1292"/>
      <c r="F1292"/>
      <c r="G1292"/>
      <c r="H1292"/>
      <c r="I1292"/>
      <c r="J1292"/>
      <c r="K1292"/>
      <c r="L1292"/>
    </row>
    <row r="1293" spans="1:12">
      <c r="A1293"/>
      <c r="B1293"/>
      <c r="C1293"/>
      <c r="D1293"/>
      <c r="E1293"/>
      <c r="F1293"/>
      <c r="G1293"/>
      <c r="H1293"/>
      <c r="I1293"/>
      <c r="J1293"/>
      <c r="K1293"/>
      <c r="L1293"/>
    </row>
    <row r="1294" spans="1:12">
      <c r="A1294"/>
      <c r="B1294"/>
      <c r="C1294"/>
      <c r="D1294"/>
      <c r="E1294"/>
      <c r="F1294"/>
      <c r="G1294"/>
      <c r="H1294"/>
      <c r="I1294"/>
      <c r="J1294"/>
      <c r="K1294"/>
      <c r="L1294"/>
    </row>
    <row r="1295" spans="1:12">
      <c r="A1295"/>
      <c r="B1295"/>
      <c r="C1295"/>
      <c r="D1295"/>
      <c r="E1295"/>
      <c r="F1295"/>
      <c r="G1295"/>
      <c r="H1295"/>
      <c r="I1295"/>
      <c r="J1295"/>
      <c r="K1295"/>
      <c r="L1295"/>
    </row>
    <row r="1296" spans="1:12">
      <c r="A1296"/>
      <c r="B1296"/>
      <c r="C1296"/>
      <c r="D1296"/>
      <c r="E1296"/>
      <c r="F1296"/>
      <c r="G1296"/>
      <c r="H1296"/>
      <c r="I1296"/>
      <c r="J1296"/>
      <c r="K1296"/>
      <c r="L1296"/>
    </row>
    <row r="1297" spans="1:12">
      <c r="A1297"/>
      <c r="B1297"/>
      <c r="C1297"/>
      <c r="D1297"/>
      <c r="E1297"/>
      <c r="F1297"/>
      <c r="G1297"/>
      <c r="H1297"/>
      <c r="I1297"/>
      <c r="J1297"/>
      <c r="K1297"/>
      <c r="L1297"/>
    </row>
    <row r="1298" spans="1:12">
      <c r="A1298"/>
      <c r="B1298"/>
      <c r="C1298"/>
      <c r="D1298"/>
      <c r="E1298"/>
      <c r="F1298"/>
      <c r="G1298"/>
      <c r="H1298"/>
      <c r="I1298"/>
      <c r="J1298"/>
      <c r="K1298"/>
      <c r="L1298"/>
    </row>
    <row r="1299" spans="1:12">
      <c r="A1299"/>
      <c r="B1299"/>
      <c r="C1299"/>
      <c r="D1299"/>
      <c r="E1299"/>
      <c r="F1299"/>
      <c r="G1299"/>
      <c r="H1299"/>
      <c r="I1299"/>
      <c r="J1299"/>
      <c r="K1299"/>
      <c r="L1299"/>
    </row>
    <row r="1300" spans="1:12">
      <c r="A1300"/>
      <c r="B1300"/>
      <c r="C1300"/>
      <c r="D1300"/>
      <c r="E1300"/>
      <c r="F1300"/>
      <c r="G1300"/>
      <c r="H1300"/>
      <c r="I1300"/>
      <c r="J1300"/>
      <c r="K1300"/>
      <c r="L1300"/>
    </row>
    <row r="1301" spans="1:12">
      <c r="A1301"/>
      <c r="B1301"/>
      <c r="C1301"/>
      <c r="D1301"/>
      <c r="E1301"/>
      <c r="F1301"/>
      <c r="G1301"/>
      <c r="H1301"/>
      <c r="I1301"/>
      <c r="J1301"/>
      <c r="K1301"/>
      <c r="L1301"/>
    </row>
    <row r="1302" spans="1:12">
      <c r="A1302"/>
      <c r="B1302"/>
      <c r="C1302"/>
      <c r="D1302"/>
      <c r="E1302"/>
      <c r="F1302"/>
      <c r="G1302"/>
      <c r="H1302"/>
      <c r="I1302"/>
      <c r="J1302"/>
      <c r="K1302"/>
      <c r="L1302"/>
    </row>
    <row r="1303" spans="1:12">
      <c r="A1303"/>
      <c r="B1303"/>
      <c r="C1303"/>
      <c r="D1303"/>
      <c r="E1303"/>
      <c r="F1303"/>
      <c r="G1303"/>
      <c r="H1303"/>
      <c r="I1303"/>
      <c r="J1303"/>
      <c r="K1303"/>
      <c r="L1303"/>
    </row>
    <row r="1304" spans="1:12">
      <c r="A1304"/>
      <c r="B1304"/>
      <c r="C1304"/>
      <c r="D1304"/>
      <c r="E1304"/>
      <c r="F1304"/>
      <c r="G1304"/>
      <c r="H1304"/>
      <c r="I1304"/>
      <c r="J1304"/>
      <c r="K1304"/>
      <c r="L1304"/>
    </row>
    <row r="1305" spans="1:12">
      <c r="A1305"/>
      <c r="B1305"/>
      <c r="C1305"/>
      <c r="D1305"/>
      <c r="E1305"/>
      <c r="F1305"/>
      <c r="G1305"/>
      <c r="H1305"/>
      <c r="I1305"/>
      <c r="J1305"/>
      <c r="K1305"/>
      <c r="L1305"/>
    </row>
    <row r="1306" spans="1:12">
      <c r="A1306"/>
      <c r="B1306"/>
      <c r="C1306"/>
      <c r="D1306"/>
      <c r="E1306"/>
      <c r="F1306"/>
      <c r="G1306"/>
      <c r="H1306"/>
      <c r="I1306"/>
      <c r="J1306"/>
      <c r="K1306"/>
      <c r="L1306"/>
    </row>
    <row r="1307" spans="1:12">
      <c r="A1307"/>
      <c r="B1307"/>
      <c r="C1307"/>
      <c r="D1307"/>
      <c r="E1307"/>
      <c r="F1307"/>
      <c r="G1307"/>
      <c r="H1307"/>
      <c r="I1307"/>
      <c r="J1307"/>
      <c r="K1307"/>
      <c r="L1307"/>
    </row>
    <row r="1308" spans="1:12">
      <c r="A1308"/>
      <c r="B1308"/>
      <c r="C1308"/>
      <c r="D1308"/>
      <c r="E1308"/>
      <c r="F1308"/>
      <c r="G1308"/>
      <c r="H1308"/>
      <c r="I1308"/>
      <c r="J1308"/>
      <c r="K1308"/>
      <c r="L1308"/>
    </row>
    <row r="1309" spans="1:12">
      <c r="A1309"/>
      <c r="B1309"/>
      <c r="C1309"/>
      <c r="D1309"/>
      <c r="E1309"/>
      <c r="F1309"/>
      <c r="G1309"/>
      <c r="H1309"/>
      <c r="I1309"/>
      <c r="J1309"/>
      <c r="K1309"/>
      <c r="L1309"/>
    </row>
    <row r="1310" spans="1:12">
      <c r="A1310"/>
      <c r="B1310"/>
      <c r="C1310"/>
      <c r="D1310"/>
      <c r="E1310"/>
      <c r="F1310"/>
      <c r="G1310"/>
      <c r="H1310"/>
      <c r="I1310"/>
      <c r="J1310"/>
      <c r="K1310"/>
      <c r="L1310"/>
    </row>
    <row r="1311" spans="1:12">
      <c r="A1311"/>
      <c r="B1311"/>
      <c r="C1311"/>
      <c r="D1311"/>
      <c r="E1311"/>
      <c r="F1311"/>
      <c r="G1311"/>
      <c r="H1311"/>
      <c r="I1311"/>
      <c r="J1311"/>
      <c r="K1311"/>
      <c r="L1311"/>
    </row>
    <row r="1312" spans="1:12">
      <c r="A1312"/>
      <c r="B1312"/>
      <c r="C1312"/>
      <c r="D1312"/>
      <c r="E1312"/>
      <c r="F1312"/>
      <c r="G1312"/>
      <c r="H1312"/>
      <c r="I1312"/>
      <c r="J1312"/>
      <c r="K1312"/>
      <c r="L1312"/>
    </row>
    <row r="1313" spans="1:12">
      <c r="A1313"/>
      <c r="B1313"/>
      <c r="C1313"/>
      <c r="D1313"/>
      <c r="E1313"/>
      <c r="F1313"/>
      <c r="G1313"/>
      <c r="H1313"/>
      <c r="I1313"/>
      <c r="J1313"/>
      <c r="K1313"/>
      <c r="L1313"/>
    </row>
    <row r="1314" spans="1:12">
      <c r="A1314"/>
      <c r="B1314"/>
      <c r="C1314"/>
      <c r="D1314"/>
      <c r="E1314"/>
      <c r="F1314"/>
      <c r="G1314"/>
      <c r="H1314"/>
      <c r="I1314"/>
      <c r="J1314"/>
      <c r="K1314"/>
      <c r="L1314"/>
    </row>
    <row r="1315" spans="1:12">
      <c r="A1315"/>
      <c r="B1315"/>
      <c r="C1315"/>
      <c r="D1315"/>
      <c r="E1315"/>
      <c r="F1315"/>
      <c r="G1315"/>
      <c r="H1315"/>
      <c r="I1315"/>
      <c r="J1315"/>
      <c r="K1315"/>
      <c r="L1315"/>
    </row>
    <row r="1316" spans="1:12">
      <c r="A1316"/>
      <c r="B1316"/>
      <c r="C1316"/>
      <c r="D1316"/>
      <c r="E1316"/>
      <c r="F1316"/>
      <c r="G1316"/>
      <c r="H1316"/>
      <c r="I1316"/>
      <c r="J1316"/>
      <c r="K1316"/>
      <c r="L1316"/>
    </row>
    <row r="1317" spans="1:12">
      <c r="A1317"/>
      <c r="B1317"/>
      <c r="C1317"/>
      <c r="D1317"/>
      <c r="E1317"/>
      <c r="F1317"/>
      <c r="G1317"/>
      <c r="H1317"/>
      <c r="I1317"/>
      <c r="J1317"/>
      <c r="K1317"/>
      <c r="L1317"/>
    </row>
    <row r="1318" spans="1:12">
      <c r="A1318"/>
      <c r="B1318"/>
      <c r="C1318"/>
      <c r="D1318"/>
      <c r="E1318"/>
      <c r="F1318"/>
      <c r="G1318"/>
      <c r="H1318"/>
      <c r="I1318"/>
      <c r="J1318"/>
      <c r="K1318"/>
      <c r="L1318"/>
    </row>
    <row r="1319" spans="1:12">
      <c r="A1319"/>
      <c r="B1319"/>
      <c r="C1319"/>
      <c r="D1319"/>
      <c r="E1319"/>
      <c r="F1319"/>
      <c r="G1319"/>
      <c r="H1319"/>
      <c r="I1319"/>
      <c r="J1319"/>
      <c r="K1319"/>
      <c r="L1319"/>
    </row>
    <row r="1320" spans="1:12">
      <c r="A1320"/>
      <c r="B1320"/>
      <c r="C1320"/>
      <c r="D1320"/>
      <c r="E1320"/>
      <c r="F1320"/>
      <c r="G1320"/>
      <c r="H1320"/>
      <c r="I1320"/>
      <c r="J1320"/>
      <c r="K1320"/>
      <c r="L1320"/>
    </row>
    <row r="1321" spans="1:12">
      <c r="A1321"/>
      <c r="B1321"/>
      <c r="C1321"/>
      <c r="D1321"/>
      <c r="E1321"/>
      <c r="F1321"/>
      <c r="G1321"/>
      <c r="H1321"/>
      <c r="I1321"/>
      <c r="J1321"/>
      <c r="K1321"/>
      <c r="L1321"/>
    </row>
    <row r="1322" spans="1:12">
      <c r="A1322"/>
      <c r="B1322"/>
      <c r="C1322"/>
      <c r="D1322"/>
      <c r="E1322"/>
      <c r="F1322"/>
      <c r="G1322"/>
      <c r="H1322"/>
      <c r="I1322"/>
      <c r="J1322"/>
      <c r="K1322"/>
      <c r="L1322"/>
    </row>
    <row r="1323" spans="1:12">
      <c r="A1323"/>
      <c r="B1323"/>
      <c r="C1323"/>
      <c r="D1323"/>
      <c r="E1323"/>
      <c r="F1323"/>
      <c r="G1323"/>
      <c r="H1323"/>
      <c r="I1323"/>
      <c r="J1323"/>
      <c r="K1323"/>
      <c r="L1323"/>
    </row>
    <row r="1324" spans="1:12">
      <c r="A1324"/>
      <c r="B1324"/>
      <c r="C1324"/>
      <c r="D1324"/>
      <c r="E1324"/>
      <c r="F1324"/>
      <c r="G1324"/>
      <c r="H1324"/>
      <c r="I1324"/>
      <c r="J1324"/>
      <c r="K1324"/>
      <c r="L1324"/>
    </row>
    <row r="1325" spans="1:12">
      <c r="A1325"/>
      <c r="B1325"/>
      <c r="C1325"/>
      <c r="D1325"/>
      <c r="E1325"/>
      <c r="F1325"/>
      <c r="G1325"/>
      <c r="H1325"/>
      <c r="I1325"/>
      <c r="J1325"/>
      <c r="K1325"/>
      <c r="L1325"/>
    </row>
    <row r="1326" spans="1:12">
      <c r="A1326"/>
      <c r="B1326"/>
      <c r="C1326"/>
      <c r="D1326"/>
      <c r="E1326"/>
      <c r="F1326"/>
      <c r="G1326"/>
      <c r="H1326"/>
      <c r="I1326"/>
      <c r="J1326"/>
      <c r="K1326"/>
      <c r="L1326"/>
    </row>
    <row r="1327" spans="1:12">
      <c r="A1327"/>
      <c r="B1327"/>
      <c r="C1327"/>
      <c r="D1327"/>
      <c r="E1327"/>
      <c r="F1327"/>
      <c r="G1327"/>
      <c r="H1327"/>
      <c r="I1327"/>
      <c r="J1327"/>
      <c r="K1327"/>
      <c r="L1327"/>
    </row>
    <row r="1328" spans="1:12">
      <c r="A1328"/>
      <c r="B1328"/>
      <c r="C1328"/>
      <c r="D1328"/>
      <c r="E1328"/>
      <c r="F1328"/>
      <c r="G1328"/>
      <c r="H1328"/>
      <c r="I1328"/>
      <c r="J1328"/>
      <c r="K1328"/>
      <c r="L1328"/>
    </row>
    <row r="1329" spans="1:12">
      <c r="A1329"/>
      <c r="B1329"/>
      <c r="C1329"/>
      <c r="D1329"/>
      <c r="E1329"/>
      <c r="F1329"/>
      <c r="G1329"/>
      <c r="H1329"/>
      <c r="I1329"/>
      <c r="J1329"/>
      <c r="K1329"/>
      <c r="L1329"/>
    </row>
    <row r="1330" spans="1:12">
      <c r="A1330"/>
      <c r="B1330"/>
      <c r="C1330"/>
      <c r="D1330"/>
      <c r="E1330"/>
      <c r="F1330"/>
      <c r="G1330"/>
      <c r="H1330"/>
      <c r="I1330"/>
      <c r="J1330"/>
      <c r="K1330"/>
      <c r="L1330"/>
    </row>
    <row r="1331" spans="1:12">
      <c r="A1331"/>
      <c r="B1331"/>
      <c r="C1331"/>
      <c r="D1331"/>
      <c r="E1331"/>
      <c r="F1331"/>
      <c r="G1331"/>
      <c r="H1331"/>
      <c r="I1331"/>
      <c r="J1331"/>
      <c r="K1331"/>
      <c r="L1331"/>
    </row>
    <row r="1332" spans="1:12">
      <c r="A1332"/>
      <c r="B1332"/>
      <c r="C1332"/>
      <c r="D1332"/>
      <c r="E1332"/>
      <c r="F1332"/>
      <c r="G1332"/>
      <c r="H1332"/>
      <c r="I1332"/>
      <c r="J1332"/>
      <c r="K1332"/>
      <c r="L1332"/>
    </row>
    <row r="1333" spans="1:12">
      <c r="A1333"/>
      <c r="B1333"/>
      <c r="C1333"/>
      <c r="D1333"/>
      <c r="E1333"/>
      <c r="F1333"/>
      <c r="G1333"/>
      <c r="H1333"/>
      <c r="I1333"/>
      <c r="J1333"/>
      <c r="K1333"/>
      <c r="L1333"/>
    </row>
    <row r="1334" spans="1:12">
      <c r="A1334"/>
      <c r="B1334"/>
      <c r="C1334"/>
      <c r="D1334"/>
      <c r="E1334"/>
      <c r="F1334"/>
      <c r="G1334"/>
      <c r="H1334"/>
      <c r="I1334"/>
      <c r="J1334"/>
      <c r="K1334"/>
      <c r="L1334"/>
    </row>
    <row r="1335" spans="1:12">
      <c r="A1335"/>
      <c r="B1335"/>
      <c r="C1335"/>
      <c r="D1335"/>
      <c r="E1335"/>
      <c r="F1335"/>
      <c r="G1335"/>
      <c r="H1335"/>
      <c r="I1335"/>
      <c r="J1335"/>
      <c r="K1335"/>
      <c r="L1335"/>
    </row>
    <row r="1336" spans="1:12">
      <c r="A1336"/>
      <c r="B1336"/>
      <c r="C1336"/>
      <c r="D1336"/>
      <c r="E1336"/>
      <c r="F1336"/>
      <c r="G1336"/>
      <c r="H1336"/>
      <c r="I1336"/>
      <c r="J1336"/>
      <c r="K1336"/>
      <c r="L1336"/>
    </row>
    <row r="1337" spans="1:12">
      <c r="A1337"/>
      <c r="B1337"/>
      <c r="C1337"/>
      <c r="D1337"/>
      <c r="E1337"/>
      <c r="F1337"/>
      <c r="G1337"/>
      <c r="H1337"/>
      <c r="I1337"/>
      <c r="J1337"/>
      <c r="K1337"/>
      <c r="L1337"/>
    </row>
    <row r="1338" spans="1:12">
      <c r="A1338"/>
      <c r="B1338"/>
      <c r="C1338"/>
      <c r="D1338"/>
      <c r="E1338"/>
      <c r="F1338"/>
      <c r="G1338"/>
      <c r="H1338"/>
      <c r="I1338"/>
      <c r="J1338"/>
      <c r="K1338"/>
      <c r="L1338"/>
    </row>
    <row r="1339" spans="1:12">
      <c r="A1339"/>
      <c r="B1339"/>
      <c r="C1339"/>
      <c r="D1339"/>
      <c r="E1339"/>
      <c r="F1339"/>
      <c r="G1339"/>
      <c r="H1339"/>
      <c r="I1339"/>
      <c r="J1339"/>
      <c r="K1339"/>
      <c r="L1339"/>
    </row>
    <row r="1340" spans="1:12">
      <c r="A1340"/>
      <c r="B1340"/>
      <c r="C1340"/>
      <c r="D1340"/>
      <c r="E1340"/>
      <c r="F1340"/>
      <c r="G1340"/>
      <c r="H1340"/>
      <c r="I1340"/>
      <c r="J1340"/>
      <c r="K1340"/>
      <c r="L1340"/>
    </row>
    <row r="1341" spans="1:12">
      <c r="A1341"/>
      <c r="B1341"/>
      <c r="C1341"/>
      <c r="D1341"/>
      <c r="E1341"/>
      <c r="F1341"/>
      <c r="G1341"/>
      <c r="H1341"/>
      <c r="I1341"/>
      <c r="J1341"/>
      <c r="K1341"/>
      <c r="L1341"/>
    </row>
    <row r="1342" spans="1:12">
      <c r="A1342"/>
      <c r="B1342"/>
      <c r="C1342"/>
      <c r="D1342"/>
      <c r="E1342"/>
      <c r="F1342"/>
      <c r="G1342"/>
      <c r="H1342"/>
      <c r="I1342"/>
      <c r="J1342"/>
      <c r="K1342"/>
      <c r="L1342"/>
    </row>
    <row r="1343" spans="1:12">
      <c r="A1343"/>
      <c r="B1343"/>
      <c r="C1343"/>
      <c r="D1343"/>
      <c r="E1343"/>
      <c r="F1343"/>
      <c r="G1343"/>
      <c r="H1343"/>
      <c r="I1343"/>
      <c r="J1343"/>
      <c r="K1343"/>
      <c r="L1343"/>
    </row>
    <row r="1344" spans="1:12">
      <c r="A1344"/>
      <c r="B1344"/>
      <c r="C1344"/>
      <c r="D1344"/>
      <c r="E1344"/>
      <c r="F1344"/>
      <c r="G1344"/>
      <c r="H1344"/>
      <c r="I1344"/>
      <c r="J1344"/>
      <c r="K1344"/>
      <c r="L1344"/>
    </row>
    <row r="1345" spans="1:12">
      <c r="A1345"/>
      <c r="B1345"/>
      <c r="C1345"/>
      <c r="D1345"/>
      <c r="E1345"/>
      <c r="F1345"/>
      <c r="G1345"/>
      <c r="H1345"/>
      <c r="I1345"/>
      <c r="J1345"/>
      <c r="K1345"/>
      <c r="L1345"/>
    </row>
    <row r="1346" spans="1:12">
      <c r="A1346"/>
      <c r="B1346"/>
      <c r="C1346"/>
      <c r="D1346"/>
      <c r="E1346"/>
      <c r="F1346"/>
      <c r="G1346"/>
      <c r="H1346"/>
      <c r="I1346"/>
      <c r="J1346"/>
      <c r="K1346"/>
      <c r="L1346"/>
    </row>
    <row r="1347" spans="1:12">
      <c r="A1347"/>
      <c r="B1347"/>
      <c r="C1347"/>
      <c r="D1347"/>
      <c r="E1347"/>
      <c r="F1347"/>
      <c r="G1347"/>
      <c r="H1347"/>
      <c r="I1347"/>
      <c r="J1347"/>
      <c r="K1347"/>
      <c r="L1347"/>
    </row>
    <row r="1348" spans="1:12">
      <c r="A1348"/>
      <c r="B1348"/>
      <c r="C1348"/>
      <c r="D1348"/>
      <c r="E1348"/>
      <c r="F1348"/>
      <c r="G1348"/>
      <c r="H1348"/>
      <c r="I1348"/>
      <c r="J1348"/>
      <c r="K1348"/>
      <c r="L1348"/>
    </row>
    <row r="1349" spans="1:12">
      <c r="A1349"/>
      <c r="B1349"/>
      <c r="C1349"/>
      <c r="D1349"/>
      <c r="E1349"/>
      <c r="F1349"/>
      <c r="G1349"/>
      <c r="H1349"/>
      <c r="I1349"/>
      <c r="J1349"/>
      <c r="K1349"/>
      <c r="L1349"/>
    </row>
    <row r="1350" spans="1:12">
      <c r="A1350"/>
      <c r="B1350"/>
      <c r="C1350"/>
      <c r="D1350"/>
      <c r="E1350"/>
      <c r="F1350"/>
      <c r="G1350"/>
      <c r="H1350"/>
      <c r="I1350"/>
      <c r="J1350"/>
      <c r="K1350"/>
      <c r="L1350"/>
    </row>
    <row r="1351" spans="1:12">
      <c r="A1351"/>
      <c r="B1351"/>
      <c r="C1351"/>
      <c r="D1351"/>
      <c r="E1351"/>
      <c r="F1351"/>
      <c r="G1351"/>
      <c r="H1351"/>
      <c r="I1351"/>
      <c r="J1351"/>
      <c r="K1351"/>
      <c r="L1351"/>
    </row>
    <row r="1352" spans="1:12">
      <c r="A1352"/>
      <c r="B1352"/>
      <c r="C1352"/>
      <c r="D1352"/>
      <c r="E1352"/>
      <c r="F1352"/>
      <c r="G1352"/>
      <c r="H1352"/>
      <c r="I1352"/>
      <c r="J1352"/>
      <c r="K1352"/>
      <c r="L1352"/>
    </row>
    <row r="1353" spans="1:12">
      <c r="A1353"/>
      <c r="B1353"/>
      <c r="C1353"/>
      <c r="D1353"/>
      <c r="E1353"/>
      <c r="F1353"/>
      <c r="G1353"/>
      <c r="H1353"/>
      <c r="I1353"/>
      <c r="J1353"/>
      <c r="K1353"/>
      <c r="L1353"/>
    </row>
    <row r="1354" spans="1:12">
      <c r="A1354"/>
      <c r="B1354"/>
      <c r="C1354"/>
      <c r="D1354"/>
      <c r="E1354"/>
      <c r="F1354"/>
      <c r="G1354"/>
      <c r="H1354"/>
      <c r="I1354"/>
      <c r="J1354"/>
      <c r="K1354"/>
      <c r="L1354"/>
    </row>
    <row r="1355" spans="1:12">
      <c r="A1355"/>
      <c r="B1355"/>
      <c r="C1355"/>
      <c r="D1355"/>
      <c r="E1355"/>
      <c r="F1355"/>
      <c r="G1355"/>
      <c r="H1355"/>
      <c r="I1355"/>
      <c r="J1355"/>
      <c r="K1355"/>
      <c r="L1355"/>
    </row>
    <row r="1356" spans="1:12">
      <c r="A1356"/>
      <c r="B1356"/>
      <c r="C1356"/>
      <c r="D1356"/>
      <c r="E1356"/>
      <c r="F1356"/>
      <c r="G1356"/>
      <c r="H1356"/>
      <c r="I1356"/>
      <c r="J1356"/>
      <c r="K1356"/>
      <c r="L1356"/>
    </row>
    <row r="1357" spans="1:12">
      <c r="A1357"/>
      <c r="B1357"/>
      <c r="C1357"/>
      <c r="D1357"/>
      <c r="E1357"/>
      <c r="F1357"/>
      <c r="G1357"/>
      <c r="H1357"/>
      <c r="I1357"/>
      <c r="J1357"/>
      <c r="K1357"/>
      <c r="L1357"/>
    </row>
    <row r="1358" spans="1:12">
      <c r="A1358"/>
      <c r="B1358"/>
      <c r="C1358"/>
      <c r="D1358"/>
      <c r="E1358"/>
      <c r="F1358"/>
      <c r="G1358"/>
      <c r="H1358"/>
      <c r="I1358"/>
      <c r="J1358"/>
      <c r="K1358"/>
      <c r="L1358"/>
    </row>
    <row r="1359" spans="1:12">
      <c r="A1359"/>
      <c r="B1359"/>
      <c r="C1359"/>
      <c r="D1359"/>
      <c r="E1359"/>
      <c r="F1359"/>
      <c r="G1359"/>
      <c r="H1359"/>
      <c r="I1359"/>
      <c r="J1359"/>
      <c r="K1359"/>
      <c r="L1359"/>
    </row>
    <row r="1360" spans="1:12">
      <c r="A1360"/>
      <c r="B1360"/>
      <c r="C1360"/>
      <c r="D1360"/>
      <c r="E1360"/>
      <c r="F1360"/>
      <c r="G1360"/>
      <c r="H1360"/>
      <c r="I1360"/>
      <c r="J1360"/>
      <c r="K1360"/>
      <c r="L1360"/>
    </row>
    <row r="1361" spans="1:12">
      <c r="A1361"/>
      <c r="B1361"/>
      <c r="C1361"/>
      <c r="D1361"/>
      <c r="E1361"/>
      <c r="F1361"/>
      <c r="G1361"/>
      <c r="H1361"/>
      <c r="I1361"/>
      <c r="J1361"/>
      <c r="K1361"/>
      <c r="L1361"/>
    </row>
    <row r="1362" spans="1:12">
      <c r="A1362"/>
      <c r="B1362"/>
      <c r="C1362"/>
      <c r="D1362"/>
      <c r="E1362"/>
      <c r="F1362"/>
      <c r="G1362"/>
      <c r="H1362"/>
      <c r="I1362"/>
      <c r="J1362"/>
      <c r="K1362"/>
      <c r="L1362"/>
    </row>
    <row r="1363" spans="1:12">
      <c r="A1363"/>
      <c r="B1363"/>
      <c r="C1363"/>
      <c r="D1363"/>
      <c r="E1363"/>
      <c r="F1363"/>
      <c r="G1363"/>
      <c r="H1363"/>
      <c r="I1363"/>
      <c r="J1363"/>
      <c r="K1363"/>
      <c r="L1363"/>
    </row>
    <row r="1364" spans="1:12">
      <c r="A1364"/>
      <c r="B1364"/>
      <c r="C1364"/>
      <c r="D1364"/>
      <c r="E1364"/>
      <c r="F1364"/>
      <c r="G1364"/>
      <c r="H1364"/>
      <c r="I1364"/>
      <c r="J1364"/>
      <c r="K1364"/>
      <c r="L1364"/>
    </row>
    <row r="1365" spans="1:12">
      <c r="A1365"/>
      <c r="B1365"/>
      <c r="C1365"/>
      <c r="D1365"/>
      <c r="E1365"/>
      <c r="F1365"/>
      <c r="G1365"/>
      <c r="H1365"/>
      <c r="I1365"/>
      <c r="J1365"/>
      <c r="K1365"/>
      <c r="L1365"/>
    </row>
    <row r="1366" spans="1:12">
      <c r="A1366"/>
      <c r="B1366"/>
      <c r="C1366"/>
      <c r="D1366"/>
      <c r="E1366"/>
      <c r="F1366"/>
      <c r="G1366"/>
      <c r="H1366"/>
      <c r="I1366"/>
      <c r="J1366"/>
      <c r="K1366"/>
      <c r="L1366"/>
    </row>
    <row r="1367" spans="1:12">
      <c r="A1367"/>
      <c r="B1367"/>
      <c r="C1367"/>
      <c r="D1367"/>
      <c r="E1367"/>
      <c r="F1367"/>
      <c r="G1367"/>
      <c r="H1367"/>
      <c r="I1367"/>
      <c r="J1367"/>
      <c r="K1367"/>
      <c r="L1367"/>
    </row>
    <row r="1368" spans="1:12">
      <c r="A1368"/>
      <c r="B1368"/>
      <c r="C1368"/>
      <c r="D1368"/>
      <c r="E1368"/>
      <c r="F1368"/>
      <c r="G1368"/>
      <c r="H1368"/>
      <c r="I1368"/>
      <c r="J1368"/>
      <c r="K1368"/>
      <c r="L1368"/>
    </row>
    <row r="1369" spans="1:12">
      <c r="A1369"/>
      <c r="B1369"/>
      <c r="C1369"/>
      <c r="D1369"/>
      <c r="E1369"/>
      <c r="F1369"/>
      <c r="G1369"/>
      <c r="H1369"/>
      <c r="I1369"/>
      <c r="J1369"/>
      <c r="K1369"/>
      <c r="L1369"/>
    </row>
    <row r="1370" spans="1:12">
      <c r="A1370"/>
      <c r="B1370"/>
      <c r="C1370"/>
      <c r="D1370"/>
      <c r="E1370"/>
      <c r="F1370"/>
      <c r="G1370"/>
      <c r="H1370"/>
      <c r="I1370"/>
      <c r="J1370"/>
      <c r="K1370"/>
      <c r="L1370"/>
    </row>
    <row r="1371" spans="1:12">
      <c r="A1371"/>
      <c r="B1371"/>
      <c r="C1371"/>
      <c r="D1371"/>
      <c r="E1371"/>
      <c r="F1371"/>
      <c r="G1371"/>
      <c r="H1371"/>
      <c r="I1371"/>
      <c r="J1371"/>
      <c r="K1371"/>
      <c r="L1371"/>
    </row>
    <row r="1372" spans="1:12">
      <c r="A1372"/>
      <c r="B1372"/>
      <c r="C1372"/>
      <c r="D1372"/>
      <c r="E1372"/>
      <c r="F1372"/>
      <c r="G1372"/>
      <c r="H1372"/>
      <c r="I1372"/>
      <c r="J1372"/>
      <c r="K1372"/>
      <c r="L1372"/>
    </row>
    <row r="1373" spans="1:12">
      <c r="A1373"/>
      <c r="B1373"/>
      <c r="C1373"/>
      <c r="D1373"/>
      <c r="E1373"/>
      <c r="F1373"/>
      <c r="G1373"/>
      <c r="H1373"/>
      <c r="I1373"/>
      <c r="J1373"/>
      <c r="K1373"/>
      <c r="L1373"/>
    </row>
    <row r="1374" spans="1:12">
      <c r="A1374"/>
      <c r="B1374"/>
      <c r="C1374"/>
      <c r="D1374"/>
      <c r="E1374"/>
      <c r="F1374"/>
      <c r="G1374"/>
      <c r="H1374"/>
      <c r="I1374"/>
      <c r="J1374"/>
      <c r="K1374"/>
      <c r="L1374"/>
    </row>
    <row r="1375" spans="1:12">
      <c r="A1375"/>
      <c r="B1375"/>
      <c r="C1375"/>
      <c r="D1375"/>
      <c r="E1375"/>
      <c r="F1375"/>
      <c r="G1375"/>
      <c r="H1375"/>
      <c r="I1375"/>
      <c r="J1375"/>
      <c r="K1375"/>
      <c r="L1375"/>
    </row>
    <row r="1376" spans="1:12">
      <c r="A1376"/>
      <c r="B1376"/>
      <c r="C1376"/>
      <c r="D1376"/>
      <c r="E1376"/>
      <c r="F1376"/>
      <c r="G1376"/>
      <c r="H1376"/>
      <c r="I1376"/>
      <c r="J1376"/>
      <c r="K1376"/>
      <c r="L1376"/>
    </row>
    <row r="1377" spans="1:12">
      <c r="A1377"/>
      <c r="B1377"/>
      <c r="C1377"/>
      <c r="D1377"/>
      <c r="E1377"/>
      <c r="F1377"/>
      <c r="G1377"/>
      <c r="H1377"/>
      <c r="I1377"/>
      <c r="J1377"/>
      <c r="K1377"/>
      <c r="L1377"/>
    </row>
    <row r="1378" spans="1:12">
      <c r="A1378"/>
      <c r="B1378"/>
      <c r="C1378"/>
      <c r="D1378"/>
      <c r="E1378"/>
      <c r="F1378"/>
      <c r="G1378"/>
      <c r="H1378"/>
      <c r="I1378"/>
      <c r="J1378"/>
      <c r="K1378"/>
      <c r="L1378"/>
    </row>
    <row r="1379" spans="1:12">
      <c r="A1379"/>
      <c r="B1379"/>
      <c r="C1379"/>
      <c r="D1379"/>
      <c r="E1379"/>
      <c r="F1379"/>
      <c r="G1379"/>
      <c r="H1379"/>
      <c r="I1379"/>
      <c r="J1379"/>
      <c r="K1379"/>
      <c r="L1379"/>
    </row>
    <row r="1380" spans="1:12">
      <c r="A1380"/>
      <c r="B1380"/>
      <c r="C1380"/>
      <c r="D1380"/>
      <c r="E1380"/>
      <c r="F1380"/>
      <c r="G1380"/>
      <c r="H1380"/>
      <c r="I1380"/>
      <c r="J1380"/>
      <c r="K1380"/>
      <c r="L1380"/>
    </row>
    <row r="1381" spans="1:12">
      <c r="A1381"/>
      <c r="B1381"/>
      <c r="C1381"/>
      <c r="D1381"/>
      <c r="E1381"/>
      <c r="F1381"/>
      <c r="G1381"/>
      <c r="H1381"/>
      <c r="I1381"/>
      <c r="J1381"/>
      <c r="K1381"/>
      <c r="L1381"/>
    </row>
    <row r="1382" spans="1:12">
      <c r="A1382"/>
      <c r="B1382"/>
      <c r="C1382"/>
      <c r="D1382"/>
      <c r="E1382"/>
      <c r="F1382"/>
      <c r="G1382"/>
      <c r="H1382"/>
      <c r="I1382"/>
      <c r="J1382"/>
      <c r="K1382"/>
      <c r="L1382"/>
    </row>
    <row r="1383" spans="1:12">
      <c r="A1383"/>
      <c r="B1383"/>
      <c r="C1383"/>
      <c r="D1383"/>
      <c r="E1383"/>
      <c r="F1383"/>
      <c r="G1383"/>
      <c r="H1383"/>
      <c r="I1383"/>
      <c r="J1383"/>
      <c r="K1383"/>
      <c r="L1383"/>
    </row>
    <row r="1384" spans="1:12">
      <c r="A1384"/>
      <c r="B1384"/>
      <c r="C1384"/>
      <c r="D1384"/>
      <c r="E1384"/>
      <c r="F1384"/>
      <c r="G1384"/>
      <c r="H1384"/>
      <c r="I1384"/>
      <c r="J1384"/>
      <c r="K1384"/>
      <c r="L1384"/>
    </row>
    <row r="1385" spans="1:12">
      <c r="A1385"/>
      <c r="B1385"/>
      <c r="C1385"/>
      <c r="D1385"/>
      <c r="E1385"/>
      <c r="F1385"/>
      <c r="G1385"/>
      <c r="H1385"/>
      <c r="I1385"/>
      <c r="J1385"/>
      <c r="K1385"/>
      <c r="L1385"/>
    </row>
    <row r="1386" spans="1:12">
      <c r="A1386"/>
      <c r="B1386"/>
      <c r="C1386"/>
      <c r="D1386"/>
      <c r="E1386"/>
      <c r="F1386"/>
      <c r="G1386"/>
      <c r="H1386"/>
      <c r="I1386"/>
      <c r="J1386"/>
      <c r="K1386"/>
      <c r="L1386"/>
    </row>
    <row r="1387" spans="1:12">
      <c r="A1387"/>
      <c r="B1387"/>
      <c r="C1387"/>
      <c r="D1387"/>
      <c r="E1387"/>
      <c r="F1387"/>
      <c r="G1387"/>
      <c r="H1387"/>
      <c r="I1387"/>
      <c r="J1387"/>
      <c r="K1387"/>
      <c r="L1387"/>
    </row>
    <row r="1388" spans="1:12">
      <c r="A1388"/>
      <c r="B1388"/>
      <c r="C1388"/>
      <c r="D1388"/>
      <c r="E1388"/>
      <c r="F1388"/>
      <c r="G1388"/>
      <c r="H1388"/>
      <c r="I1388"/>
      <c r="J1388"/>
      <c r="K1388"/>
      <c r="L1388"/>
    </row>
    <row r="1389" spans="1:12">
      <c r="A1389"/>
      <c r="B1389"/>
      <c r="C1389"/>
      <c r="D1389"/>
      <c r="E1389"/>
      <c r="F1389"/>
      <c r="G1389"/>
      <c r="H1389"/>
      <c r="I1389"/>
      <c r="J1389"/>
      <c r="K1389"/>
      <c r="L1389"/>
    </row>
    <row r="1390" spans="1:12">
      <c r="A1390"/>
      <c r="B1390"/>
      <c r="C1390"/>
      <c r="D1390"/>
      <c r="E1390"/>
      <c r="F1390"/>
      <c r="G1390"/>
      <c r="H1390"/>
      <c r="I1390"/>
      <c r="J1390"/>
      <c r="K1390"/>
      <c r="L1390"/>
    </row>
    <row r="1391" spans="1:12">
      <c r="A1391"/>
      <c r="B1391"/>
      <c r="C1391"/>
      <c r="D1391"/>
      <c r="E1391"/>
      <c r="F1391"/>
      <c r="G1391"/>
      <c r="H1391"/>
      <c r="I1391"/>
      <c r="J1391"/>
      <c r="K1391"/>
      <c r="L1391"/>
    </row>
    <row r="1392" spans="1:12">
      <c r="A1392"/>
      <c r="B1392"/>
      <c r="C1392"/>
      <c r="D1392"/>
      <c r="E1392"/>
      <c r="F1392"/>
      <c r="G1392"/>
      <c r="H1392"/>
      <c r="I1392"/>
      <c r="J1392"/>
      <c r="K1392"/>
      <c r="L1392"/>
    </row>
    <row r="1393" spans="1:12">
      <c r="A1393"/>
      <c r="B1393"/>
      <c r="C1393"/>
      <c r="D1393"/>
      <c r="E1393"/>
      <c r="F1393"/>
      <c r="G1393"/>
      <c r="H1393"/>
      <c r="I1393"/>
      <c r="J1393"/>
      <c r="K1393"/>
      <c r="L1393"/>
    </row>
    <row r="1394" spans="1:12">
      <c r="A1394"/>
      <c r="B1394"/>
      <c r="C1394"/>
      <c r="D1394"/>
      <c r="E1394"/>
      <c r="F1394"/>
      <c r="G1394"/>
      <c r="H1394"/>
      <c r="I1394"/>
      <c r="J1394"/>
      <c r="K1394"/>
      <c r="L1394"/>
    </row>
    <row r="1395" spans="1:12">
      <c r="A1395"/>
      <c r="B1395"/>
      <c r="C1395"/>
      <c r="D1395"/>
      <c r="E1395"/>
      <c r="F1395"/>
      <c r="G1395"/>
      <c r="H1395"/>
      <c r="I1395"/>
      <c r="J1395"/>
      <c r="K1395"/>
      <c r="L1395"/>
    </row>
    <row r="1396" spans="1:12">
      <c r="A1396"/>
      <c r="B1396"/>
      <c r="C1396"/>
      <c r="D1396"/>
      <c r="E1396"/>
      <c r="F1396"/>
      <c r="G1396"/>
      <c r="H1396"/>
      <c r="I1396"/>
      <c r="J1396"/>
      <c r="K1396"/>
      <c r="L1396"/>
    </row>
    <row r="1397" spans="1:12">
      <c r="A1397"/>
      <c r="B1397"/>
      <c r="C1397"/>
      <c r="D1397"/>
      <c r="E1397"/>
      <c r="F1397"/>
      <c r="G1397"/>
      <c r="H1397"/>
      <c r="I1397"/>
      <c r="J1397"/>
      <c r="K1397"/>
      <c r="L1397"/>
    </row>
    <row r="1398" spans="1:12">
      <c r="A1398"/>
      <c r="B1398"/>
      <c r="C1398"/>
      <c r="D1398"/>
      <c r="E1398"/>
      <c r="F1398"/>
      <c r="G1398"/>
      <c r="H1398"/>
      <c r="I1398"/>
      <c r="J1398"/>
      <c r="K1398"/>
      <c r="L1398"/>
    </row>
    <row r="1399" spans="1:12">
      <c r="A1399"/>
      <c r="B1399"/>
      <c r="C1399"/>
      <c r="D1399"/>
      <c r="E1399"/>
      <c r="F1399"/>
      <c r="G1399"/>
      <c r="H1399"/>
      <c r="I1399"/>
      <c r="J1399"/>
      <c r="K1399"/>
      <c r="L1399"/>
    </row>
    <row r="1400" spans="1:12">
      <c r="A1400"/>
      <c r="B1400"/>
      <c r="C1400"/>
      <c r="D1400"/>
      <c r="E1400"/>
      <c r="F1400"/>
      <c r="G1400"/>
      <c r="H1400"/>
      <c r="I1400"/>
      <c r="J1400"/>
      <c r="K1400"/>
      <c r="L1400"/>
    </row>
    <row r="1401" spans="1:12">
      <c r="A1401"/>
      <c r="B1401"/>
      <c r="C1401"/>
      <c r="D1401"/>
      <c r="E1401"/>
      <c r="F1401"/>
      <c r="G1401"/>
      <c r="H1401"/>
      <c r="I1401"/>
      <c r="J1401"/>
      <c r="K1401"/>
      <c r="L1401"/>
    </row>
    <row r="1402" spans="1:12">
      <c r="A1402"/>
      <c r="B1402"/>
      <c r="C1402"/>
      <c r="D1402"/>
      <c r="E1402"/>
      <c r="F1402"/>
      <c r="G1402"/>
      <c r="H1402"/>
      <c r="I1402"/>
      <c r="J1402"/>
      <c r="K1402"/>
      <c r="L1402"/>
    </row>
    <row r="1403" spans="1:12">
      <c r="A1403"/>
      <c r="B1403"/>
      <c r="C1403"/>
      <c r="D1403"/>
      <c r="E1403"/>
      <c r="F1403"/>
      <c r="G1403"/>
      <c r="H1403"/>
      <c r="I1403"/>
      <c r="J1403"/>
      <c r="K1403"/>
      <c r="L1403"/>
    </row>
    <row r="1404" spans="1:12">
      <c r="A1404"/>
      <c r="B1404"/>
      <c r="C1404"/>
      <c r="D1404"/>
      <c r="E1404"/>
      <c r="F1404"/>
      <c r="G1404"/>
      <c r="H1404"/>
      <c r="I1404"/>
      <c r="J1404"/>
      <c r="K1404"/>
      <c r="L1404"/>
    </row>
    <row r="1405" spans="1:12">
      <c r="A1405"/>
      <c r="B1405"/>
      <c r="C1405"/>
      <c r="D1405"/>
      <c r="E1405"/>
      <c r="F1405"/>
      <c r="G1405"/>
      <c r="H1405"/>
      <c r="I1405"/>
      <c r="J1405"/>
      <c r="K1405"/>
      <c r="L1405"/>
    </row>
    <row r="1406" spans="1:12">
      <c r="A1406"/>
      <c r="B1406"/>
      <c r="C1406"/>
      <c r="D1406"/>
      <c r="E1406"/>
      <c r="F1406"/>
      <c r="G1406"/>
      <c r="H1406"/>
      <c r="I1406"/>
      <c r="J1406"/>
      <c r="K1406"/>
      <c r="L1406"/>
    </row>
    <row r="1407" spans="1:12">
      <c r="A1407"/>
      <c r="B1407"/>
      <c r="C1407"/>
      <c r="D1407"/>
      <c r="E1407"/>
      <c r="F1407"/>
      <c r="G1407"/>
      <c r="H1407"/>
      <c r="I1407"/>
      <c r="J1407"/>
      <c r="K1407"/>
      <c r="L1407"/>
    </row>
    <row r="1408" spans="1:12">
      <c r="A1408"/>
      <c r="B1408"/>
      <c r="C1408"/>
      <c r="D1408"/>
      <c r="E1408"/>
      <c r="F1408"/>
      <c r="G1408"/>
      <c r="H1408"/>
      <c r="I1408"/>
      <c r="J1408"/>
      <c r="K1408"/>
      <c r="L1408"/>
    </row>
    <row r="1409" spans="1:12">
      <c r="A1409"/>
      <c r="B1409"/>
      <c r="C1409"/>
      <c r="D1409"/>
      <c r="E1409"/>
      <c r="F1409"/>
      <c r="G1409"/>
      <c r="H1409"/>
      <c r="I1409"/>
      <c r="J1409"/>
      <c r="K1409"/>
      <c r="L1409"/>
    </row>
    <row r="1410" spans="1:12">
      <c r="A1410"/>
      <c r="B1410"/>
      <c r="C1410"/>
      <c r="D1410"/>
      <c r="E1410"/>
      <c r="F1410"/>
      <c r="G1410"/>
      <c r="H1410"/>
      <c r="I1410"/>
      <c r="J1410"/>
      <c r="K1410"/>
      <c r="L1410"/>
    </row>
    <row r="1411" spans="1:12">
      <c r="A1411"/>
      <c r="B1411"/>
      <c r="C1411"/>
      <c r="D1411"/>
      <c r="E1411"/>
      <c r="F1411"/>
      <c r="G1411"/>
      <c r="H1411"/>
      <c r="I1411"/>
      <c r="J1411"/>
      <c r="K1411"/>
      <c r="L1411"/>
    </row>
    <row r="1412" spans="1:12">
      <c r="A1412"/>
      <c r="B1412"/>
      <c r="C1412"/>
      <c r="D1412"/>
      <c r="E1412"/>
      <c r="F1412"/>
      <c r="G1412"/>
      <c r="H1412"/>
      <c r="I1412"/>
      <c r="J1412"/>
      <c r="K1412"/>
      <c r="L1412"/>
    </row>
    <row r="1413" spans="1:12">
      <c r="A1413"/>
      <c r="B1413"/>
      <c r="C1413"/>
      <c r="D1413"/>
      <c r="E1413"/>
      <c r="F1413"/>
      <c r="G1413"/>
      <c r="H1413"/>
      <c r="I1413"/>
      <c r="J1413"/>
      <c r="K1413"/>
      <c r="L1413"/>
    </row>
    <row r="1414" spans="1:12">
      <c r="A1414"/>
      <c r="B1414"/>
      <c r="C1414"/>
      <c r="D1414"/>
      <c r="E1414"/>
      <c r="F1414"/>
      <c r="G1414"/>
      <c r="H1414"/>
      <c r="I1414"/>
      <c r="J1414"/>
      <c r="K1414"/>
      <c r="L1414"/>
    </row>
    <row r="1415" spans="1:12">
      <c r="A1415"/>
      <c r="B1415"/>
      <c r="C1415"/>
      <c r="D1415"/>
      <c r="E1415"/>
      <c r="F1415"/>
      <c r="G1415"/>
      <c r="H1415"/>
      <c r="I1415"/>
      <c r="J1415"/>
      <c r="K1415"/>
      <c r="L1415"/>
    </row>
    <row r="1416" spans="1:12">
      <c r="A1416"/>
      <c r="B1416"/>
      <c r="C1416"/>
      <c r="D1416"/>
      <c r="E1416"/>
      <c r="F1416"/>
      <c r="G1416"/>
      <c r="H1416"/>
      <c r="I1416"/>
      <c r="J1416"/>
      <c r="K1416"/>
      <c r="L1416"/>
    </row>
    <row r="1417" spans="1:12">
      <c r="A1417"/>
      <c r="B1417"/>
      <c r="C1417"/>
      <c r="D1417"/>
      <c r="E1417"/>
      <c r="F1417"/>
      <c r="G1417"/>
      <c r="H1417"/>
      <c r="I1417"/>
      <c r="J1417"/>
      <c r="K1417"/>
      <c r="L1417"/>
    </row>
    <row r="1418" spans="1:12">
      <c r="A1418"/>
      <c r="B1418"/>
      <c r="C1418"/>
      <c r="D1418"/>
      <c r="E1418"/>
      <c r="F1418"/>
      <c r="G1418"/>
      <c r="H1418"/>
      <c r="I1418"/>
      <c r="J1418"/>
      <c r="K1418"/>
      <c r="L1418"/>
    </row>
    <row r="1419" spans="1:12">
      <c r="A1419"/>
      <c r="B1419"/>
      <c r="C1419"/>
      <c r="D1419"/>
      <c r="E1419"/>
      <c r="F1419"/>
      <c r="G1419"/>
      <c r="H1419"/>
      <c r="I1419"/>
      <c r="J1419"/>
      <c r="K1419"/>
      <c r="L1419"/>
    </row>
    <row r="1420" spans="1:12">
      <c r="A1420"/>
      <c r="B1420"/>
      <c r="C1420"/>
      <c r="D1420"/>
      <c r="E1420"/>
      <c r="F1420"/>
      <c r="G1420"/>
      <c r="H1420"/>
      <c r="I1420"/>
      <c r="J1420"/>
      <c r="K1420"/>
      <c r="L1420"/>
    </row>
    <row r="1421" spans="1:12">
      <c r="A1421"/>
      <c r="B1421"/>
      <c r="C1421"/>
      <c r="D1421"/>
      <c r="E1421"/>
      <c r="F1421"/>
      <c r="G1421"/>
      <c r="H1421"/>
      <c r="I1421"/>
      <c r="J1421"/>
      <c r="K1421"/>
      <c r="L1421"/>
    </row>
    <row r="1422" spans="1:12">
      <c r="A1422"/>
      <c r="B1422"/>
      <c r="C1422"/>
      <c r="D1422"/>
      <c r="E1422"/>
      <c r="F1422"/>
      <c r="G1422"/>
      <c r="H1422"/>
      <c r="I1422"/>
      <c r="J1422"/>
      <c r="K1422"/>
      <c r="L1422"/>
    </row>
    <row r="1423" spans="1:12">
      <c r="A1423"/>
      <c r="B1423"/>
      <c r="C1423"/>
      <c r="D1423"/>
      <c r="E1423"/>
      <c r="F1423"/>
      <c r="G1423"/>
      <c r="H1423"/>
      <c r="I1423"/>
      <c r="J1423"/>
      <c r="K1423"/>
      <c r="L1423"/>
    </row>
    <row r="1424" spans="1:12">
      <c r="A1424"/>
      <c r="B1424"/>
      <c r="C1424"/>
      <c r="D1424"/>
      <c r="E1424"/>
      <c r="F1424"/>
      <c r="G1424"/>
      <c r="H1424"/>
      <c r="I1424"/>
      <c r="J1424"/>
      <c r="K1424"/>
      <c r="L1424"/>
    </row>
    <row r="1425" spans="1:12">
      <c r="A1425"/>
      <c r="B1425"/>
      <c r="C1425"/>
      <c r="D1425"/>
      <c r="E1425"/>
      <c r="F1425"/>
      <c r="G1425"/>
      <c r="H1425"/>
      <c r="I1425"/>
      <c r="J1425"/>
      <c r="K1425"/>
      <c r="L1425"/>
    </row>
    <row r="1426" spans="1:12">
      <c r="A1426"/>
      <c r="B1426"/>
      <c r="C1426"/>
      <c r="D1426"/>
      <c r="E1426"/>
      <c r="F1426"/>
      <c r="G1426"/>
      <c r="H1426"/>
      <c r="I1426"/>
      <c r="J1426"/>
      <c r="K1426"/>
      <c r="L1426"/>
    </row>
    <row r="1427" spans="1:12">
      <c r="A1427"/>
      <c r="B1427"/>
      <c r="C1427"/>
      <c r="D1427"/>
      <c r="E1427"/>
      <c r="F1427"/>
      <c r="G1427"/>
      <c r="H1427"/>
      <c r="I1427"/>
      <c r="J1427"/>
      <c r="K1427"/>
      <c r="L1427"/>
    </row>
    <row r="1428" spans="1:12">
      <c r="A1428"/>
      <c r="B1428"/>
      <c r="C1428"/>
      <c r="D1428"/>
      <c r="E1428"/>
      <c r="F1428"/>
      <c r="G1428"/>
      <c r="H1428"/>
      <c r="I1428"/>
      <c r="J1428"/>
      <c r="K1428"/>
      <c r="L1428"/>
    </row>
    <row r="1429" spans="1:12">
      <c r="A1429"/>
      <c r="B1429"/>
      <c r="C1429"/>
      <c r="D1429"/>
      <c r="E1429"/>
      <c r="F1429"/>
      <c r="G1429"/>
      <c r="H1429"/>
      <c r="I1429"/>
      <c r="J1429"/>
      <c r="K1429"/>
      <c r="L1429"/>
    </row>
    <row r="1430" spans="1:12">
      <c r="A1430"/>
      <c r="B1430"/>
      <c r="C1430"/>
      <c r="D1430"/>
      <c r="E1430"/>
      <c r="F1430"/>
      <c r="G1430"/>
      <c r="H1430"/>
      <c r="I1430"/>
      <c r="J1430"/>
      <c r="K1430"/>
      <c r="L1430"/>
    </row>
    <row r="1431" spans="1:12">
      <c r="A1431"/>
      <c r="B1431"/>
      <c r="C1431"/>
      <c r="D1431"/>
      <c r="E1431"/>
      <c r="F1431"/>
      <c r="G1431"/>
      <c r="H1431"/>
      <c r="I1431"/>
      <c r="J1431"/>
      <c r="K1431"/>
      <c r="L1431"/>
    </row>
    <row r="1432" spans="1:12">
      <c r="A1432"/>
      <c r="B1432"/>
      <c r="C1432"/>
      <c r="D1432"/>
      <c r="E1432"/>
      <c r="F1432"/>
      <c r="G1432"/>
      <c r="H1432"/>
      <c r="I1432"/>
      <c r="J1432"/>
      <c r="K1432"/>
      <c r="L1432"/>
    </row>
    <row r="1433" spans="1:12">
      <c r="A1433"/>
      <c r="B1433"/>
      <c r="C1433"/>
      <c r="D1433"/>
      <c r="E1433"/>
      <c r="F1433"/>
      <c r="G1433"/>
      <c r="H1433"/>
      <c r="I1433"/>
      <c r="J1433"/>
      <c r="K1433"/>
      <c r="L1433"/>
    </row>
    <row r="1434" spans="1:12">
      <c r="A1434"/>
      <c r="B1434"/>
      <c r="C1434"/>
      <c r="D1434"/>
      <c r="E1434"/>
      <c r="F1434"/>
      <c r="G1434"/>
      <c r="H1434"/>
      <c r="I1434"/>
      <c r="J1434"/>
      <c r="K1434"/>
      <c r="L1434"/>
    </row>
    <row r="1435" spans="1:12">
      <c r="A1435"/>
      <c r="B1435"/>
      <c r="C1435"/>
      <c r="D1435"/>
      <c r="E1435"/>
      <c r="F1435"/>
      <c r="G1435"/>
      <c r="H1435"/>
      <c r="I1435"/>
      <c r="J1435"/>
      <c r="K1435"/>
      <c r="L1435"/>
    </row>
    <row r="1436" spans="1:12">
      <c r="A1436"/>
      <c r="B1436"/>
      <c r="C1436"/>
      <c r="D1436"/>
      <c r="E1436"/>
      <c r="F1436"/>
      <c r="G1436"/>
      <c r="H1436"/>
      <c r="I1436"/>
      <c r="J1436"/>
      <c r="K1436"/>
      <c r="L1436"/>
    </row>
    <row r="1437" spans="1:12">
      <c r="A1437"/>
      <c r="B1437"/>
      <c r="C1437"/>
      <c r="D1437"/>
      <c r="E1437"/>
      <c r="F1437"/>
      <c r="G1437"/>
      <c r="H1437"/>
      <c r="I1437"/>
      <c r="J1437"/>
      <c r="K1437"/>
      <c r="L1437"/>
    </row>
    <row r="1438" spans="1:12">
      <c r="A1438"/>
      <c r="B1438"/>
      <c r="C1438"/>
      <c r="D1438"/>
      <c r="E1438"/>
      <c r="F1438"/>
      <c r="G1438"/>
      <c r="H1438"/>
      <c r="I1438"/>
      <c r="J1438"/>
      <c r="K1438"/>
      <c r="L1438"/>
    </row>
    <row r="1439" spans="1:12">
      <c r="A1439"/>
      <c r="B1439"/>
      <c r="C1439"/>
      <c r="D1439"/>
      <c r="E1439"/>
      <c r="F1439"/>
      <c r="G1439"/>
      <c r="H1439"/>
      <c r="I1439"/>
      <c r="J1439"/>
      <c r="K1439"/>
      <c r="L1439"/>
    </row>
    <row r="1440" spans="1:12">
      <c r="A1440"/>
      <c r="B1440"/>
      <c r="C1440"/>
      <c r="D1440"/>
      <c r="E1440"/>
      <c r="F1440"/>
      <c r="G1440"/>
      <c r="H1440"/>
      <c r="I1440"/>
      <c r="J1440"/>
      <c r="K1440"/>
      <c r="L1440"/>
    </row>
    <row r="1441" spans="1:12">
      <c r="A1441"/>
      <c r="B1441"/>
      <c r="C1441"/>
      <c r="D1441"/>
      <c r="E1441"/>
      <c r="F1441"/>
      <c r="G1441"/>
      <c r="H1441"/>
      <c r="I1441"/>
      <c r="J1441"/>
      <c r="K1441"/>
      <c r="L1441"/>
    </row>
    <row r="1442" spans="1:12">
      <c r="A1442"/>
      <c r="B1442"/>
      <c r="C1442"/>
      <c r="D1442"/>
      <c r="E1442"/>
      <c r="F1442"/>
      <c r="G1442"/>
      <c r="H1442"/>
      <c r="I1442"/>
      <c r="J1442"/>
      <c r="K1442"/>
      <c r="L1442"/>
    </row>
    <row r="1443" spans="1:12">
      <c r="A1443"/>
      <c r="B1443"/>
      <c r="C1443"/>
      <c r="D1443"/>
      <c r="E1443"/>
      <c r="F1443"/>
      <c r="G1443"/>
      <c r="H1443"/>
      <c r="I1443"/>
      <c r="J1443"/>
      <c r="K1443"/>
      <c r="L1443"/>
    </row>
    <row r="1444" spans="1:12">
      <c r="A1444"/>
      <c r="B1444"/>
      <c r="C1444"/>
      <c r="D1444"/>
      <c r="E1444"/>
      <c r="F1444"/>
      <c r="G1444"/>
      <c r="H1444"/>
      <c r="I1444"/>
      <c r="J1444"/>
      <c r="K1444"/>
      <c r="L1444"/>
    </row>
    <row r="1445" spans="1:12">
      <c r="A1445"/>
      <c r="B1445"/>
      <c r="C1445"/>
      <c r="D1445"/>
      <c r="E1445"/>
      <c r="F1445"/>
      <c r="G1445"/>
      <c r="H1445"/>
      <c r="I1445"/>
      <c r="J1445"/>
      <c r="K1445"/>
      <c r="L1445"/>
    </row>
    <row r="1446" spans="1:12">
      <c r="A1446"/>
      <c r="B1446"/>
      <c r="C1446"/>
      <c r="D1446"/>
      <c r="E1446"/>
      <c r="F1446"/>
      <c r="G1446"/>
      <c r="H1446"/>
      <c r="I1446"/>
      <c r="J1446"/>
      <c r="K1446"/>
      <c r="L1446"/>
    </row>
    <row r="1447" spans="1:12">
      <c r="A1447"/>
      <c r="B1447"/>
      <c r="C1447"/>
      <c r="D1447"/>
      <c r="E1447"/>
      <c r="F1447"/>
      <c r="G1447"/>
      <c r="H1447"/>
      <c r="I1447"/>
      <c r="J1447"/>
      <c r="K1447"/>
      <c r="L1447"/>
    </row>
    <row r="1448" spans="1:12">
      <c r="A1448"/>
      <c r="B1448"/>
      <c r="C1448"/>
      <c r="D1448"/>
      <c r="E1448"/>
      <c r="F1448"/>
      <c r="G1448"/>
      <c r="H1448"/>
      <c r="I1448"/>
      <c r="J1448"/>
      <c r="K1448"/>
      <c r="L1448"/>
    </row>
    <row r="1449" spans="1:12">
      <c r="A1449"/>
      <c r="B1449"/>
      <c r="C1449"/>
      <c r="D1449"/>
      <c r="E1449"/>
      <c r="F1449"/>
      <c r="G1449"/>
      <c r="H1449"/>
      <c r="I1449"/>
      <c r="J1449"/>
      <c r="K1449"/>
      <c r="L1449"/>
    </row>
    <row r="1450" spans="1:12">
      <c r="A1450"/>
      <c r="B1450"/>
      <c r="C1450"/>
      <c r="D1450"/>
      <c r="E1450"/>
      <c r="F1450"/>
      <c r="G1450"/>
      <c r="H1450"/>
      <c r="I1450"/>
      <c r="J1450"/>
      <c r="K1450"/>
      <c r="L1450"/>
    </row>
    <row r="1451" spans="1:12">
      <c r="A1451"/>
      <c r="B1451"/>
      <c r="C1451"/>
      <c r="D1451"/>
      <c r="E1451"/>
      <c r="F1451"/>
      <c r="G1451"/>
      <c r="H1451"/>
      <c r="I1451"/>
      <c r="J1451"/>
      <c r="K1451"/>
      <c r="L1451"/>
    </row>
    <row r="1452" spans="1:12">
      <c r="A1452"/>
      <c r="B1452"/>
      <c r="C1452"/>
      <c r="D1452"/>
      <c r="E1452"/>
      <c r="F1452"/>
      <c r="G1452"/>
      <c r="H1452"/>
      <c r="I1452"/>
      <c r="J1452"/>
      <c r="K1452"/>
      <c r="L1452"/>
    </row>
    <row r="1453" spans="1:12">
      <c r="A1453"/>
      <c r="B1453"/>
      <c r="C1453"/>
      <c r="D1453"/>
      <c r="E1453"/>
      <c r="F1453"/>
      <c r="G1453"/>
      <c r="H1453"/>
      <c r="I1453"/>
      <c r="J1453"/>
      <c r="K1453"/>
      <c r="L1453"/>
    </row>
    <row r="1454" spans="1:12">
      <c r="A1454"/>
      <c r="B1454"/>
      <c r="C1454"/>
      <c r="D1454"/>
      <c r="E1454"/>
      <c r="F1454"/>
      <c r="G1454"/>
      <c r="H1454"/>
      <c r="I1454"/>
      <c r="J1454"/>
      <c r="K1454"/>
      <c r="L1454"/>
    </row>
    <row r="1455" spans="1:12">
      <c r="A1455"/>
      <c r="B1455"/>
      <c r="C1455"/>
      <c r="D1455"/>
      <c r="E1455"/>
      <c r="F1455"/>
      <c r="G1455"/>
      <c r="H1455"/>
      <c r="I1455"/>
      <c r="J1455"/>
      <c r="K1455"/>
      <c r="L1455"/>
    </row>
    <row r="1456" spans="1:12">
      <c r="A1456"/>
      <c r="B1456"/>
      <c r="C1456"/>
      <c r="D1456"/>
      <c r="E1456"/>
      <c r="F1456"/>
      <c r="G1456"/>
      <c r="H1456"/>
      <c r="I1456"/>
      <c r="J1456"/>
      <c r="K1456"/>
      <c r="L1456"/>
    </row>
    <row r="1457" spans="1:12">
      <c r="A1457"/>
      <c r="B1457"/>
      <c r="C1457"/>
      <c r="D1457"/>
      <c r="E1457"/>
      <c r="F1457"/>
      <c r="G1457"/>
      <c r="H1457"/>
      <c r="I1457"/>
      <c r="J1457"/>
      <c r="K1457"/>
      <c r="L1457"/>
    </row>
    <row r="1458" spans="1:12">
      <c r="A1458"/>
      <c r="B1458"/>
      <c r="C1458"/>
      <c r="D1458"/>
      <c r="E1458"/>
      <c r="F1458"/>
      <c r="G1458"/>
      <c r="H1458"/>
      <c r="I1458"/>
      <c r="J1458"/>
      <c r="K1458"/>
      <c r="L1458"/>
    </row>
    <row r="1459" spans="1:12">
      <c r="A1459"/>
      <c r="B1459"/>
      <c r="C1459"/>
      <c r="D1459"/>
      <c r="E1459"/>
      <c r="F1459"/>
      <c r="G1459"/>
      <c r="H1459"/>
      <c r="I1459"/>
      <c r="J1459"/>
      <c r="K1459"/>
      <c r="L1459"/>
    </row>
    <row r="1460" spans="1:12">
      <c r="A1460"/>
      <c r="B1460"/>
      <c r="C1460"/>
      <c r="D1460"/>
      <c r="E1460"/>
      <c r="F1460"/>
      <c r="G1460"/>
      <c r="H1460"/>
      <c r="I1460"/>
      <c r="J1460"/>
      <c r="K1460"/>
      <c r="L1460"/>
    </row>
    <row r="1461" spans="1:12">
      <c r="A1461"/>
      <c r="B1461"/>
      <c r="C1461"/>
      <c r="D1461"/>
      <c r="E1461"/>
      <c r="F1461"/>
      <c r="G1461"/>
      <c r="H1461"/>
      <c r="I1461"/>
      <c r="J1461"/>
      <c r="K1461"/>
      <c r="L1461"/>
    </row>
    <row r="1462" spans="1:12">
      <c r="A1462"/>
      <c r="B1462"/>
      <c r="C1462"/>
      <c r="D1462"/>
      <c r="E1462"/>
      <c r="F1462"/>
      <c r="G1462"/>
      <c r="H1462"/>
      <c r="I1462"/>
      <c r="J1462"/>
      <c r="K1462"/>
      <c r="L1462"/>
    </row>
    <row r="1463" spans="1:12">
      <c r="A1463"/>
      <c r="B1463"/>
      <c r="C1463"/>
      <c r="D1463"/>
      <c r="E1463"/>
      <c r="F1463"/>
      <c r="G1463"/>
      <c r="H1463"/>
      <c r="I1463"/>
      <c r="J1463"/>
      <c r="K1463"/>
      <c r="L1463"/>
    </row>
    <row r="1464" spans="1:12">
      <c r="A1464"/>
      <c r="B1464"/>
      <c r="C1464"/>
      <c r="D1464"/>
      <c r="E1464"/>
      <c r="F1464"/>
      <c r="G1464"/>
      <c r="H1464"/>
      <c r="I1464"/>
      <c r="J1464"/>
      <c r="K1464"/>
      <c r="L1464"/>
    </row>
    <row r="1465" spans="1:12">
      <c r="A1465"/>
      <c r="B1465"/>
      <c r="C1465"/>
      <c r="D1465"/>
      <c r="E1465"/>
      <c r="F1465"/>
      <c r="G1465"/>
      <c r="H1465"/>
      <c r="I1465"/>
      <c r="J1465"/>
      <c r="K1465"/>
      <c r="L1465"/>
    </row>
    <row r="1466" spans="1:12">
      <c r="A1466"/>
      <c r="B1466"/>
      <c r="C1466"/>
      <c r="D1466"/>
      <c r="E1466"/>
      <c r="F1466"/>
      <c r="G1466"/>
      <c r="H1466"/>
      <c r="I1466"/>
      <c r="J1466"/>
      <c r="K1466"/>
      <c r="L1466"/>
    </row>
    <row r="1467" spans="1:12">
      <c r="A1467"/>
      <c r="B1467"/>
      <c r="C1467"/>
      <c r="D1467"/>
      <c r="E1467"/>
      <c r="F1467"/>
      <c r="G1467"/>
      <c r="H1467"/>
      <c r="I1467"/>
      <c r="J1467"/>
      <c r="K1467"/>
      <c r="L1467"/>
    </row>
    <row r="1468" spans="1:12">
      <c r="A1468"/>
      <c r="B1468"/>
      <c r="C1468"/>
      <c r="D1468"/>
      <c r="E1468"/>
      <c r="F1468"/>
      <c r="G1468"/>
      <c r="H1468"/>
      <c r="I1468"/>
      <c r="J1468"/>
      <c r="K1468"/>
      <c r="L1468"/>
    </row>
    <row r="1469" spans="1:12">
      <c r="A1469"/>
      <c r="B1469"/>
      <c r="C1469"/>
      <c r="D1469"/>
      <c r="E1469"/>
      <c r="F1469"/>
      <c r="G1469"/>
      <c r="H1469"/>
      <c r="I1469"/>
      <c r="J1469"/>
      <c r="K1469"/>
      <c r="L1469"/>
    </row>
    <row r="1470" spans="1:12">
      <c r="A1470"/>
      <c r="B1470"/>
      <c r="C1470"/>
      <c r="D1470"/>
      <c r="E1470"/>
      <c r="F1470"/>
      <c r="G1470"/>
      <c r="H1470"/>
      <c r="I1470"/>
      <c r="J1470"/>
      <c r="K1470"/>
      <c r="L1470"/>
    </row>
    <row r="1471" spans="1:12">
      <c r="A1471"/>
      <c r="B1471"/>
      <c r="C1471"/>
      <c r="D1471"/>
      <c r="E1471"/>
      <c r="F1471"/>
      <c r="G1471"/>
      <c r="H1471"/>
      <c r="I1471"/>
      <c r="J1471"/>
      <c r="K1471"/>
      <c r="L1471"/>
    </row>
    <row r="1472" spans="1:12">
      <c r="A1472"/>
      <c r="B1472"/>
      <c r="C1472"/>
      <c r="D1472"/>
      <c r="E1472"/>
      <c r="F1472"/>
      <c r="G1472"/>
      <c r="H1472"/>
      <c r="I1472"/>
      <c r="J1472"/>
      <c r="K1472"/>
      <c r="L1472"/>
    </row>
    <row r="1473" spans="1:12">
      <c r="A1473"/>
      <c r="B1473"/>
      <c r="C1473"/>
      <c r="D1473"/>
      <c r="E1473"/>
      <c r="F1473"/>
      <c r="G1473"/>
      <c r="H1473"/>
      <c r="I1473"/>
      <c r="J1473"/>
      <c r="K1473"/>
      <c r="L1473"/>
    </row>
    <row r="1474" spans="1:12">
      <c r="A1474"/>
      <c r="B1474"/>
      <c r="C1474"/>
      <c r="D1474"/>
      <c r="E1474"/>
      <c r="F1474"/>
      <c r="G1474"/>
      <c r="H1474"/>
      <c r="I1474"/>
      <c r="J1474"/>
      <c r="K1474"/>
      <c r="L1474"/>
    </row>
    <row r="1475" spans="1:12">
      <c r="A1475"/>
      <c r="B1475"/>
      <c r="C1475"/>
      <c r="D1475"/>
      <c r="E1475"/>
      <c r="F1475"/>
      <c r="G1475"/>
      <c r="H1475"/>
      <c r="I1475"/>
      <c r="J1475"/>
      <c r="K1475"/>
      <c r="L1475"/>
    </row>
    <row r="1476" spans="1:12">
      <c r="A1476"/>
      <c r="B1476"/>
      <c r="C1476"/>
      <c r="D1476"/>
      <c r="E1476"/>
      <c r="F1476"/>
      <c r="G1476"/>
      <c r="H1476"/>
      <c r="I1476"/>
      <c r="J1476"/>
      <c r="K1476"/>
      <c r="L1476"/>
    </row>
    <row r="1477" spans="1:12">
      <c r="A1477"/>
      <c r="B1477"/>
      <c r="C1477"/>
      <c r="D1477"/>
      <c r="E1477"/>
      <c r="F1477"/>
      <c r="G1477"/>
      <c r="H1477"/>
      <c r="I1477"/>
      <c r="J1477"/>
      <c r="K1477"/>
      <c r="L1477"/>
    </row>
    <row r="1478" spans="1:12">
      <c r="A1478"/>
      <c r="B1478"/>
      <c r="C1478"/>
      <c r="D1478"/>
      <c r="E1478"/>
      <c r="F1478"/>
      <c r="G1478"/>
      <c r="H1478"/>
      <c r="I1478"/>
      <c r="J1478"/>
      <c r="K1478"/>
      <c r="L1478"/>
    </row>
    <row r="1479" spans="1:12">
      <c r="A1479"/>
      <c r="B1479"/>
      <c r="C1479"/>
      <c r="D1479"/>
      <c r="E1479"/>
      <c r="F1479"/>
      <c r="G1479"/>
      <c r="H1479"/>
      <c r="I1479"/>
      <c r="J1479"/>
      <c r="K1479"/>
      <c r="L1479"/>
    </row>
    <row r="1480" spans="1:12">
      <c r="A1480"/>
      <c r="B1480"/>
      <c r="C1480"/>
      <c r="D1480"/>
      <c r="E1480"/>
      <c r="F1480"/>
      <c r="G1480"/>
      <c r="H1480"/>
      <c r="I1480"/>
      <c r="J1480"/>
      <c r="K1480"/>
      <c r="L1480"/>
    </row>
    <row r="1481" spans="1:12">
      <c r="A1481"/>
      <c r="B1481"/>
      <c r="C1481"/>
      <c r="D1481"/>
      <c r="E1481"/>
      <c r="F1481"/>
      <c r="G1481"/>
      <c r="H1481"/>
      <c r="I1481"/>
      <c r="J1481"/>
      <c r="K1481"/>
      <c r="L1481"/>
    </row>
    <row r="1482" spans="1:12">
      <c r="A1482"/>
      <c r="B1482"/>
      <c r="C1482"/>
      <c r="D1482"/>
      <c r="E1482"/>
      <c r="F1482"/>
      <c r="G1482"/>
      <c r="H1482"/>
      <c r="I1482"/>
      <c r="J1482"/>
      <c r="K1482"/>
      <c r="L1482"/>
    </row>
    <row r="1483" spans="1:12">
      <c r="A1483"/>
      <c r="B1483"/>
      <c r="C1483"/>
      <c r="D1483"/>
      <c r="E1483"/>
      <c r="F1483"/>
      <c r="G1483"/>
      <c r="H1483"/>
      <c r="I1483"/>
      <c r="J1483"/>
      <c r="K1483"/>
      <c r="L1483"/>
    </row>
    <row r="1484" spans="1:12">
      <c r="A1484"/>
      <c r="B1484"/>
      <c r="C1484"/>
      <c r="D1484"/>
      <c r="E1484"/>
      <c r="F1484"/>
      <c r="G1484"/>
      <c r="H1484"/>
      <c r="I1484"/>
      <c r="J1484"/>
      <c r="K1484"/>
      <c r="L1484"/>
    </row>
    <row r="1485" spans="1:12">
      <c r="A1485"/>
      <c r="B1485"/>
      <c r="C1485"/>
      <c r="D1485"/>
      <c r="E1485"/>
      <c r="F1485"/>
      <c r="G1485"/>
      <c r="H1485"/>
      <c r="I1485"/>
      <c r="J1485"/>
      <c r="K1485"/>
      <c r="L1485"/>
    </row>
    <row r="1486" spans="1:12">
      <c r="A1486"/>
      <c r="B1486"/>
      <c r="C1486"/>
      <c r="D1486"/>
      <c r="E1486"/>
      <c r="F1486"/>
      <c r="G1486"/>
      <c r="H1486"/>
      <c r="I1486"/>
      <c r="J1486"/>
      <c r="K1486"/>
      <c r="L1486"/>
    </row>
    <row r="1487" spans="1:12">
      <c r="A1487"/>
      <c r="B1487"/>
      <c r="C1487"/>
      <c r="D1487"/>
      <c r="E1487"/>
      <c r="F1487"/>
      <c r="G1487"/>
      <c r="H1487"/>
      <c r="I1487"/>
      <c r="J1487"/>
      <c r="K1487"/>
      <c r="L1487"/>
    </row>
    <row r="1488" spans="1:12">
      <c r="A1488"/>
      <c r="B1488"/>
      <c r="C1488"/>
      <c r="D1488"/>
      <c r="E1488"/>
      <c r="F1488"/>
      <c r="G1488"/>
      <c r="H1488"/>
      <c r="I1488"/>
      <c r="J1488"/>
      <c r="K1488"/>
      <c r="L1488"/>
    </row>
    <row r="1489" spans="1:12">
      <c r="A1489"/>
      <c r="B1489"/>
      <c r="C1489"/>
      <c r="D1489"/>
      <c r="E1489"/>
      <c r="F1489"/>
      <c r="G1489"/>
      <c r="H1489"/>
      <c r="I1489"/>
      <c r="J1489"/>
      <c r="K1489"/>
      <c r="L1489"/>
    </row>
    <row r="1490" spans="1:12">
      <c r="A1490"/>
      <c r="B1490"/>
      <c r="C1490"/>
      <c r="D1490"/>
      <c r="E1490"/>
      <c r="F1490"/>
      <c r="G1490"/>
      <c r="H1490"/>
      <c r="I1490"/>
      <c r="J1490"/>
      <c r="K1490"/>
      <c r="L1490"/>
    </row>
    <row r="1491" spans="1:12">
      <c r="A1491"/>
      <c r="B1491"/>
      <c r="C1491"/>
      <c r="D1491"/>
      <c r="E1491"/>
      <c r="F1491"/>
      <c r="G1491"/>
      <c r="H1491"/>
      <c r="I1491"/>
      <c r="J1491"/>
      <c r="K1491"/>
      <c r="L1491"/>
    </row>
    <row r="1492" spans="1:12">
      <c r="A1492"/>
      <c r="B1492"/>
      <c r="C1492"/>
      <c r="D1492"/>
      <c r="E1492"/>
      <c r="F1492"/>
      <c r="G1492"/>
      <c r="H1492"/>
      <c r="I1492"/>
      <c r="J1492"/>
      <c r="K1492"/>
      <c r="L1492"/>
    </row>
    <row r="1493" spans="1:12">
      <c r="A1493"/>
      <c r="B1493"/>
      <c r="C1493"/>
      <c r="D1493"/>
      <c r="E1493"/>
      <c r="F1493"/>
      <c r="G1493"/>
      <c r="H1493"/>
      <c r="I1493"/>
      <c r="J1493"/>
      <c r="K1493"/>
      <c r="L1493"/>
    </row>
    <row r="1494" spans="1:12">
      <c r="A1494"/>
      <c r="B1494"/>
      <c r="C1494"/>
      <c r="D1494"/>
      <c r="E1494"/>
      <c r="F1494"/>
      <c r="G1494"/>
      <c r="H1494"/>
      <c r="I1494"/>
      <c r="J1494"/>
      <c r="K1494"/>
      <c r="L1494"/>
    </row>
    <row r="1495" spans="1:12">
      <c r="A1495"/>
      <c r="B1495"/>
      <c r="C1495"/>
      <c r="D1495"/>
      <c r="E1495"/>
      <c r="F1495"/>
      <c r="G1495"/>
      <c r="H1495"/>
      <c r="I1495"/>
      <c r="J1495"/>
      <c r="K1495"/>
      <c r="L1495"/>
    </row>
    <row r="1496" spans="1:12">
      <c r="A1496"/>
      <c r="B1496"/>
      <c r="C1496"/>
      <c r="D1496"/>
      <c r="E1496"/>
      <c r="F1496"/>
      <c r="G1496"/>
      <c r="H1496"/>
      <c r="I1496"/>
      <c r="J1496"/>
      <c r="K1496"/>
      <c r="L1496"/>
    </row>
    <row r="1497" spans="1:12">
      <c r="A1497"/>
      <c r="B1497"/>
      <c r="C1497"/>
      <c r="D1497"/>
      <c r="E1497"/>
      <c r="F1497"/>
      <c r="G1497"/>
      <c r="H1497"/>
      <c r="I1497"/>
      <c r="J1497"/>
      <c r="K1497"/>
      <c r="L1497"/>
    </row>
    <row r="1498" spans="1:12">
      <c r="A1498"/>
      <c r="B1498"/>
      <c r="C1498"/>
      <c r="D1498"/>
      <c r="E1498"/>
      <c r="F1498"/>
      <c r="G1498"/>
      <c r="H1498"/>
      <c r="I1498"/>
      <c r="J1498"/>
      <c r="K1498"/>
      <c r="L1498"/>
    </row>
    <row r="1499" spans="1:12">
      <c r="A1499"/>
      <c r="B1499"/>
      <c r="C1499"/>
      <c r="D1499"/>
      <c r="E1499"/>
      <c r="F1499"/>
      <c r="G1499"/>
      <c r="H1499"/>
      <c r="I1499"/>
      <c r="J1499"/>
      <c r="K1499"/>
      <c r="L1499"/>
    </row>
    <row r="1500" spans="1:12">
      <c r="A1500"/>
      <c r="B1500"/>
      <c r="C1500"/>
      <c r="D1500"/>
      <c r="E1500"/>
      <c r="F1500"/>
      <c r="G1500"/>
      <c r="H1500"/>
      <c r="I1500"/>
      <c r="J1500"/>
      <c r="K1500"/>
      <c r="L1500"/>
    </row>
    <row r="1501" spans="1:12">
      <c r="A1501"/>
      <c r="B1501"/>
      <c r="C1501"/>
      <c r="D1501"/>
      <c r="E1501"/>
      <c r="F1501"/>
      <c r="G1501"/>
      <c r="H1501"/>
      <c r="I1501"/>
      <c r="J1501"/>
      <c r="K1501"/>
      <c r="L1501"/>
    </row>
    <row r="1502" spans="1:12">
      <c r="A1502"/>
      <c r="B1502"/>
      <c r="C1502"/>
      <c r="D1502"/>
      <c r="E1502"/>
      <c r="F1502"/>
      <c r="G1502"/>
      <c r="H1502"/>
      <c r="I1502"/>
      <c r="J1502"/>
      <c r="K1502"/>
      <c r="L1502"/>
    </row>
    <row r="1503" spans="1:12">
      <c r="A1503"/>
      <c r="B1503"/>
      <c r="C1503"/>
      <c r="D1503"/>
      <c r="E1503"/>
      <c r="F1503"/>
      <c r="G1503"/>
      <c r="H1503"/>
      <c r="I1503"/>
      <c r="J1503"/>
      <c r="K1503"/>
      <c r="L1503"/>
    </row>
    <row r="1504" spans="1:12">
      <c r="A1504"/>
      <c r="B1504"/>
      <c r="C1504"/>
      <c r="D1504"/>
      <c r="E1504"/>
      <c r="F1504"/>
      <c r="G1504"/>
      <c r="H1504"/>
      <c r="I1504"/>
      <c r="J1504"/>
      <c r="K1504"/>
      <c r="L1504"/>
    </row>
    <row r="1505" spans="1:12">
      <c r="A1505"/>
      <c r="B1505"/>
      <c r="C1505"/>
      <c r="D1505"/>
      <c r="E1505"/>
      <c r="F1505"/>
      <c r="G1505"/>
      <c r="H1505"/>
      <c r="I1505"/>
      <c r="J1505"/>
      <c r="K1505"/>
      <c r="L1505"/>
    </row>
    <row r="1506" spans="1:12">
      <c r="A1506"/>
      <c r="B1506"/>
      <c r="C1506"/>
      <c r="D1506"/>
      <c r="E1506"/>
      <c r="F1506"/>
      <c r="G1506"/>
      <c r="H1506"/>
      <c r="I1506"/>
      <c r="J1506"/>
      <c r="K1506"/>
      <c r="L1506"/>
    </row>
    <row r="1507" spans="1:12">
      <c r="A1507"/>
      <c r="B1507"/>
      <c r="C1507"/>
      <c r="D1507"/>
      <c r="E1507"/>
      <c r="F1507"/>
      <c r="G1507"/>
      <c r="H1507"/>
      <c r="I1507"/>
      <c r="J1507"/>
      <c r="K1507"/>
      <c r="L1507"/>
    </row>
    <row r="1508" spans="1:12">
      <c r="A1508"/>
      <c r="B1508"/>
      <c r="C1508"/>
      <c r="D1508"/>
      <c r="E1508"/>
      <c r="F1508"/>
      <c r="G1508"/>
      <c r="H1508"/>
      <c r="I1508"/>
      <c r="J1508"/>
      <c r="K1508"/>
      <c r="L1508"/>
    </row>
    <row r="1509" spans="1:12">
      <c r="A1509"/>
      <c r="B1509"/>
      <c r="C1509"/>
      <c r="D1509"/>
      <c r="E1509"/>
      <c r="F1509"/>
      <c r="G1509"/>
      <c r="H1509"/>
      <c r="I1509"/>
      <c r="J1509"/>
      <c r="K1509"/>
      <c r="L1509"/>
    </row>
    <row r="1510" spans="1:12">
      <c r="A1510"/>
      <c r="B1510"/>
      <c r="C1510"/>
      <c r="D1510"/>
      <c r="E1510"/>
      <c r="F1510"/>
      <c r="G1510"/>
      <c r="H1510"/>
      <c r="I1510"/>
      <c r="J1510"/>
      <c r="K1510"/>
      <c r="L1510"/>
    </row>
    <row r="1511" spans="1:12">
      <c r="A1511"/>
      <c r="B1511"/>
      <c r="C1511"/>
      <c r="D1511"/>
      <c r="E1511"/>
      <c r="F1511"/>
      <c r="G1511"/>
      <c r="H1511"/>
      <c r="I1511"/>
      <c r="J1511"/>
      <c r="K1511"/>
      <c r="L1511"/>
    </row>
    <row r="1512" spans="1:12">
      <c r="A1512"/>
      <c r="B1512"/>
      <c r="C1512"/>
      <c r="D1512"/>
      <c r="E1512"/>
      <c r="F1512"/>
      <c r="G1512"/>
      <c r="H1512"/>
      <c r="I1512"/>
      <c r="J1512"/>
      <c r="K1512"/>
      <c r="L1512"/>
    </row>
    <row r="1513" spans="1:12">
      <c r="A1513"/>
      <c r="B1513"/>
      <c r="C1513"/>
      <c r="D1513"/>
      <c r="E1513"/>
      <c r="F1513"/>
      <c r="G1513"/>
      <c r="H1513"/>
      <c r="I1513"/>
      <c r="J1513"/>
      <c r="K1513"/>
      <c r="L1513"/>
    </row>
    <row r="1514" spans="1:12">
      <c r="A1514"/>
      <c r="B1514"/>
      <c r="C1514"/>
      <c r="D1514"/>
      <c r="E1514"/>
      <c r="F1514"/>
      <c r="G1514"/>
      <c r="H1514"/>
      <c r="I1514"/>
      <c r="J1514"/>
      <c r="K1514"/>
      <c r="L1514"/>
    </row>
    <row r="1515" spans="1:12">
      <c r="A1515"/>
      <c r="B1515"/>
      <c r="C1515"/>
      <c r="D1515"/>
      <c r="E1515"/>
      <c r="F1515"/>
      <c r="G1515"/>
      <c r="H1515"/>
      <c r="I1515"/>
      <c r="J1515"/>
      <c r="K1515"/>
      <c r="L1515"/>
    </row>
    <row r="1516" spans="1:12">
      <c r="A1516"/>
      <c r="B1516"/>
      <c r="C1516"/>
      <c r="D1516"/>
      <c r="E1516"/>
      <c r="F1516"/>
      <c r="G1516"/>
      <c r="H1516"/>
      <c r="I1516"/>
      <c r="J1516"/>
      <c r="K1516"/>
      <c r="L1516"/>
    </row>
    <row r="1517" spans="1:12">
      <c r="A1517"/>
      <c r="B1517"/>
      <c r="C1517"/>
      <c r="D1517"/>
      <c r="E1517"/>
      <c r="F1517"/>
      <c r="G1517"/>
      <c r="H1517"/>
      <c r="I1517"/>
      <c r="J1517"/>
      <c r="K1517"/>
      <c r="L1517"/>
    </row>
    <row r="1518" spans="1:12">
      <c r="A1518"/>
      <c r="B1518"/>
      <c r="C1518"/>
      <c r="D1518"/>
      <c r="E1518"/>
      <c r="F1518"/>
      <c r="G1518"/>
      <c r="H1518"/>
      <c r="I1518"/>
      <c r="J1518"/>
      <c r="K1518"/>
      <c r="L1518"/>
    </row>
    <row r="1519" spans="1:12">
      <c r="A1519"/>
      <c r="B1519"/>
      <c r="C1519"/>
      <c r="D1519"/>
      <c r="E1519"/>
      <c r="F1519"/>
      <c r="G1519"/>
      <c r="H1519"/>
      <c r="I1519"/>
      <c r="J1519"/>
      <c r="K1519"/>
      <c r="L1519"/>
    </row>
    <row r="1520" spans="1:12">
      <c r="A1520"/>
      <c r="B1520"/>
      <c r="C1520"/>
      <c r="D1520"/>
      <c r="E1520"/>
      <c r="F1520"/>
      <c r="G1520"/>
      <c r="H1520"/>
      <c r="I1520"/>
      <c r="J1520"/>
      <c r="K1520"/>
      <c r="L1520"/>
    </row>
    <row r="1521" spans="1:12">
      <c r="A1521"/>
      <c r="B1521"/>
      <c r="C1521"/>
      <c r="D1521"/>
      <c r="E1521"/>
      <c r="F1521"/>
      <c r="G1521"/>
      <c r="H1521"/>
      <c r="I1521"/>
      <c r="J1521"/>
      <c r="K1521"/>
      <c r="L1521"/>
    </row>
    <row r="1522" spans="1:12">
      <c r="A1522"/>
      <c r="B1522"/>
      <c r="C1522"/>
      <c r="D1522"/>
      <c r="E1522"/>
      <c r="F1522"/>
      <c r="G1522"/>
      <c r="H1522"/>
      <c r="I1522"/>
      <c r="J1522"/>
      <c r="K1522"/>
      <c r="L1522"/>
    </row>
    <row r="1523" spans="1:12">
      <c r="A1523"/>
      <c r="B1523"/>
      <c r="C1523"/>
      <c r="D1523"/>
      <c r="E1523"/>
      <c r="F1523"/>
      <c r="G1523"/>
      <c r="H1523"/>
      <c r="I1523"/>
      <c r="J1523"/>
      <c r="K1523"/>
      <c r="L1523"/>
    </row>
    <row r="1524" spans="1:12">
      <c r="A1524"/>
      <c r="B1524"/>
      <c r="C1524"/>
      <c r="D1524"/>
      <c r="E1524"/>
      <c r="F1524"/>
      <c r="G1524"/>
      <c r="H1524"/>
      <c r="I1524"/>
      <c r="J1524"/>
      <c r="K1524"/>
      <c r="L1524"/>
    </row>
    <row r="1525" spans="1:12">
      <c r="A1525"/>
      <c r="B1525"/>
      <c r="C1525"/>
      <c r="D1525"/>
      <c r="E1525"/>
      <c r="F1525"/>
      <c r="G1525"/>
      <c r="H1525"/>
      <c r="I1525"/>
      <c r="J1525"/>
      <c r="K1525"/>
      <c r="L1525"/>
    </row>
    <row r="1526" spans="1:12">
      <c r="A1526"/>
      <c r="B1526"/>
      <c r="C1526"/>
      <c r="D1526"/>
      <c r="E1526"/>
      <c r="F1526"/>
      <c r="G1526"/>
      <c r="H1526"/>
      <c r="I1526"/>
      <c r="J1526"/>
      <c r="K1526"/>
      <c r="L1526"/>
    </row>
    <row r="1527" spans="1:12">
      <c r="A1527"/>
      <c r="B1527"/>
      <c r="C1527"/>
      <c r="D1527"/>
      <c r="E1527"/>
      <c r="F1527"/>
      <c r="G1527"/>
      <c r="H1527"/>
      <c r="I1527"/>
      <c r="J1527"/>
      <c r="K1527"/>
      <c r="L1527"/>
    </row>
    <row r="1528" spans="1:12">
      <c r="A1528"/>
      <c r="B1528"/>
      <c r="C1528"/>
      <c r="D1528"/>
      <c r="E1528"/>
      <c r="F1528"/>
      <c r="G1528"/>
      <c r="H1528"/>
      <c r="I1528"/>
      <c r="J1528"/>
      <c r="K1528"/>
      <c r="L1528"/>
    </row>
    <row r="1529" spans="1:12">
      <c r="A1529"/>
      <c r="B1529"/>
      <c r="C1529"/>
      <c r="D1529"/>
      <c r="E1529"/>
      <c r="F1529"/>
      <c r="G1529"/>
      <c r="H1529"/>
      <c r="I1529"/>
      <c r="J1529"/>
      <c r="K1529"/>
      <c r="L1529"/>
    </row>
    <row r="1530" spans="1:12">
      <c r="A1530"/>
      <c r="B1530"/>
      <c r="C1530"/>
      <c r="D1530"/>
      <c r="E1530"/>
      <c r="F1530"/>
      <c r="G1530"/>
      <c r="H1530"/>
      <c r="I1530"/>
      <c r="J1530"/>
      <c r="K1530"/>
      <c r="L1530"/>
    </row>
    <row r="1531" spans="1:12">
      <c r="A1531"/>
      <c r="B1531"/>
      <c r="C1531"/>
      <c r="D1531"/>
      <c r="E1531"/>
      <c r="F1531"/>
      <c r="G1531"/>
      <c r="H1531"/>
      <c r="I1531"/>
      <c r="J1531"/>
      <c r="K1531"/>
      <c r="L1531"/>
    </row>
    <row r="1532" spans="1:12">
      <c r="A1532"/>
      <c r="B1532"/>
      <c r="C1532"/>
      <c r="D1532"/>
      <c r="E1532"/>
      <c r="F1532"/>
      <c r="G1532"/>
      <c r="H1532"/>
      <c r="I1532"/>
      <c r="J1532"/>
      <c r="K1532"/>
      <c r="L1532"/>
    </row>
    <row r="1533" spans="1:12">
      <c r="A1533"/>
      <c r="B1533"/>
      <c r="C1533"/>
      <c r="D1533"/>
      <c r="E1533"/>
      <c r="F1533"/>
      <c r="G1533"/>
      <c r="H1533"/>
      <c r="I1533"/>
      <c r="J1533"/>
      <c r="K1533"/>
      <c r="L1533"/>
    </row>
    <row r="1534" spans="1:12">
      <c r="A1534"/>
      <c r="B1534"/>
      <c r="C1534"/>
      <c r="D1534"/>
      <c r="E1534"/>
      <c r="F1534"/>
      <c r="G1534"/>
      <c r="H1534"/>
      <c r="I1534"/>
      <c r="J1534"/>
      <c r="K1534"/>
      <c r="L1534"/>
    </row>
    <row r="1535" spans="1:12">
      <c r="A1535"/>
      <c r="B1535"/>
      <c r="C1535"/>
      <c r="D1535"/>
      <c r="E1535"/>
      <c r="F1535"/>
      <c r="G1535"/>
      <c r="H1535"/>
      <c r="I1535"/>
      <c r="J1535"/>
      <c r="K1535"/>
      <c r="L1535"/>
    </row>
    <row r="1536" spans="1:12">
      <c r="A1536"/>
      <c r="B1536"/>
      <c r="C1536"/>
      <c r="D1536"/>
      <c r="E1536"/>
      <c r="F1536"/>
      <c r="G1536"/>
      <c r="H1536"/>
      <c r="I1536"/>
      <c r="J1536"/>
      <c r="K1536"/>
      <c r="L1536"/>
    </row>
    <row r="1537" spans="1:12">
      <c r="A1537"/>
      <c r="B1537"/>
      <c r="C1537"/>
      <c r="D1537"/>
      <c r="E1537"/>
      <c r="F1537"/>
      <c r="G1537"/>
      <c r="H1537"/>
      <c r="I1537"/>
      <c r="J1537"/>
      <c r="K1537"/>
      <c r="L1537"/>
    </row>
    <row r="1538" spans="1:12">
      <c r="A1538"/>
      <c r="B1538"/>
      <c r="C1538"/>
      <c r="D1538"/>
      <c r="E1538"/>
      <c r="F1538"/>
      <c r="G1538"/>
      <c r="H1538"/>
      <c r="I1538"/>
      <c r="J1538"/>
      <c r="K1538"/>
      <c r="L1538"/>
    </row>
    <row r="1539" spans="1:12">
      <c r="A1539"/>
      <c r="B1539"/>
      <c r="C1539"/>
      <c r="D1539"/>
      <c r="E1539"/>
      <c r="F1539"/>
      <c r="G1539"/>
      <c r="H1539"/>
      <c r="I1539"/>
      <c r="J1539"/>
      <c r="K1539"/>
      <c r="L1539"/>
    </row>
    <row r="1540" spans="1:12">
      <c r="A1540"/>
      <c r="B1540"/>
      <c r="C1540"/>
      <c r="D1540"/>
      <c r="E1540"/>
      <c r="F1540"/>
      <c r="G1540"/>
      <c r="H1540"/>
      <c r="I1540"/>
      <c r="J1540"/>
      <c r="K1540"/>
      <c r="L1540"/>
    </row>
    <row r="1541" spans="1:12">
      <c r="A1541"/>
      <c r="B1541"/>
      <c r="C1541"/>
      <c r="D1541"/>
      <c r="E1541"/>
      <c r="F1541"/>
      <c r="G1541"/>
      <c r="H1541"/>
      <c r="I1541"/>
      <c r="J1541"/>
      <c r="K1541"/>
      <c r="L1541"/>
    </row>
    <row r="1542" spans="1:12">
      <c r="A1542"/>
      <c r="B1542"/>
      <c r="C1542"/>
      <c r="D1542"/>
      <c r="E1542"/>
      <c r="F1542"/>
      <c r="G1542"/>
      <c r="H1542"/>
      <c r="I1542"/>
      <c r="J1542"/>
      <c r="K1542"/>
      <c r="L1542"/>
    </row>
    <row r="1543" spans="1:12">
      <c r="A1543"/>
      <c r="B1543"/>
      <c r="C1543"/>
      <c r="D1543"/>
      <c r="E1543"/>
      <c r="F1543"/>
      <c r="G1543"/>
      <c r="H1543"/>
      <c r="I1543"/>
      <c r="J1543"/>
      <c r="K1543"/>
      <c r="L1543"/>
    </row>
    <row r="1544" spans="1:12">
      <c r="A1544"/>
      <c r="B1544"/>
      <c r="C1544"/>
      <c r="D1544"/>
      <c r="E1544"/>
      <c r="F1544"/>
      <c r="G1544"/>
      <c r="H1544"/>
      <c r="I1544"/>
      <c r="J1544"/>
      <c r="K1544"/>
      <c r="L1544"/>
    </row>
    <row r="1545" spans="1:12">
      <c r="A1545"/>
      <c r="B1545"/>
      <c r="C1545"/>
      <c r="D1545"/>
      <c r="E1545"/>
      <c r="F1545"/>
      <c r="G1545"/>
      <c r="H1545"/>
      <c r="I1545"/>
      <c r="J1545"/>
      <c r="K1545"/>
      <c r="L1545"/>
    </row>
    <row r="1546" spans="1:12">
      <c r="A1546"/>
      <c r="B1546"/>
      <c r="C1546"/>
      <c r="D1546"/>
      <c r="E1546"/>
      <c r="F1546"/>
      <c r="G1546"/>
      <c r="H1546"/>
      <c r="I1546"/>
      <c r="J1546"/>
      <c r="K1546"/>
      <c r="L1546"/>
    </row>
    <row r="1547" spans="1:12">
      <c r="A1547"/>
      <c r="B1547"/>
      <c r="C1547"/>
      <c r="D1547"/>
      <c r="E1547"/>
      <c r="F1547"/>
      <c r="G1547"/>
      <c r="H1547"/>
      <c r="I1547"/>
      <c r="J1547"/>
      <c r="K1547"/>
      <c r="L1547"/>
    </row>
    <row r="1548" spans="1:12">
      <c r="A1548"/>
      <c r="B1548"/>
      <c r="C1548"/>
      <c r="D1548"/>
      <c r="E1548"/>
      <c r="F1548"/>
      <c r="G1548"/>
      <c r="H1548"/>
      <c r="I1548"/>
      <c r="J1548"/>
      <c r="K1548"/>
      <c r="L1548"/>
    </row>
    <row r="1549" spans="1:12">
      <c r="A1549"/>
      <c r="B1549"/>
      <c r="C1549"/>
      <c r="D1549"/>
      <c r="E1549"/>
      <c r="F1549"/>
      <c r="G1549"/>
      <c r="H1549"/>
      <c r="I1549"/>
      <c r="J1549"/>
      <c r="K1549"/>
      <c r="L1549"/>
    </row>
    <row r="1550" spans="1:12">
      <c r="A1550"/>
      <c r="B1550"/>
      <c r="C1550"/>
      <c r="D1550"/>
      <c r="E1550"/>
      <c r="F1550"/>
      <c r="G1550"/>
      <c r="H1550"/>
      <c r="I1550"/>
      <c r="J1550"/>
      <c r="K1550"/>
      <c r="L1550"/>
    </row>
    <row r="1551" spans="1:12">
      <c r="A1551"/>
      <c r="B1551"/>
      <c r="C1551"/>
      <c r="D1551"/>
      <c r="E1551"/>
      <c r="F1551"/>
      <c r="G1551"/>
      <c r="H1551"/>
      <c r="I1551"/>
      <c r="J1551"/>
      <c r="K1551"/>
      <c r="L1551"/>
    </row>
    <row r="1552" spans="1:12">
      <c r="A1552"/>
      <c r="B1552"/>
      <c r="C1552"/>
      <c r="D1552"/>
      <c r="E1552"/>
      <c r="F1552"/>
      <c r="G1552"/>
      <c r="H1552"/>
      <c r="I1552"/>
      <c r="J1552"/>
      <c r="K1552"/>
      <c r="L1552"/>
    </row>
    <row r="1553" spans="1:12">
      <c r="A1553"/>
      <c r="B1553"/>
      <c r="C1553"/>
      <c r="D1553"/>
      <c r="E1553"/>
      <c r="F1553"/>
      <c r="G1553"/>
      <c r="H1553"/>
      <c r="I1553"/>
      <c r="J1553"/>
      <c r="K1553"/>
      <c r="L1553"/>
    </row>
    <row r="1554" spans="1:12">
      <c r="A1554"/>
      <c r="B1554"/>
      <c r="C1554"/>
      <c r="D1554"/>
      <c r="E1554"/>
      <c r="F1554"/>
      <c r="G1554"/>
      <c r="H1554"/>
      <c r="I1554"/>
      <c r="J1554"/>
      <c r="K1554"/>
      <c r="L1554"/>
    </row>
    <row r="1555" spans="1:12">
      <c r="A1555"/>
      <c r="B1555"/>
      <c r="C1555"/>
      <c r="D1555"/>
      <c r="E1555"/>
      <c r="F1555"/>
      <c r="G1555"/>
      <c r="H1555"/>
      <c r="I1555"/>
      <c r="J1555"/>
      <c r="K1555"/>
      <c r="L1555"/>
    </row>
    <row r="1556" spans="1:12">
      <c r="A1556"/>
      <c r="B1556"/>
      <c r="C1556"/>
      <c r="D1556"/>
      <c r="E1556"/>
      <c r="F1556"/>
      <c r="G1556"/>
      <c r="H1556"/>
      <c r="I1556"/>
      <c r="J1556"/>
      <c r="K1556"/>
      <c r="L1556"/>
    </row>
    <row r="1557" spans="1:12">
      <c r="A1557"/>
      <c r="B1557"/>
      <c r="C1557"/>
      <c r="D1557"/>
      <c r="E1557"/>
      <c r="F1557"/>
      <c r="G1557"/>
      <c r="H1557"/>
      <c r="I1557"/>
      <c r="J1557"/>
      <c r="K1557"/>
      <c r="L1557"/>
    </row>
    <row r="1558" spans="1:12">
      <c r="A1558"/>
      <c r="B1558"/>
      <c r="C1558"/>
      <c r="D1558"/>
      <c r="E1558"/>
      <c r="F1558"/>
      <c r="G1558"/>
      <c r="H1558"/>
      <c r="I1558"/>
      <c r="J1558"/>
      <c r="K1558"/>
      <c r="L1558"/>
    </row>
    <row r="1559" spans="1:12">
      <c r="A1559"/>
      <c r="B1559"/>
      <c r="C1559"/>
      <c r="D1559"/>
      <c r="E1559"/>
      <c r="F1559"/>
      <c r="G1559"/>
      <c r="H1559"/>
      <c r="I1559"/>
      <c r="J1559"/>
      <c r="K1559"/>
      <c r="L1559"/>
    </row>
    <row r="1560" spans="1:12">
      <c r="A1560"/>
      <c r="B1560"/>
      <c r="C1560"/>
      <c r="D1560"/>
      <c r="E1560"/>
      <c r="F1560"/>
      <c r="G1560"/>
      <c r="H1560"/>
      <c r="I1560"/>
      <c r="J1560"/>
      <c r="K1560"/>
      <c r="L1560"/>
    </row>
    <row r="1561" spans="1:12">
      <c r="A1561"/>
      <c r="B1561"/>
      <c r="C1561"/>
      <c r="D1561"/>
      <c r="E1561"/>
      <c r="F1561"/>
      <c r="G1561"/>
      <c r="H1561"/>
      <c r="I1561"/>
      <c r="J1561"/>
      <c r="K1561"/>
      <c r="L1561"/>
    </row>
    <row r="1562" spans="1:12">
      <c r="A1562"/>
      <c r="B1562"/>
      <c r="C1562"/>
      <c r="D1562"/>
      <c r="E1562"/>
      <c r="F1562"/>
      <c r="G1562"/>
      <c r="H1562"/>
      <c r="I1562"/>
      <c r="J1562"/>
      <c r="K1562"/>
      <c r="L1562"/>
    </row>
    <row r="1563" spans="1:12">
      <c r="A1563"/>
      <c r="B1563"/>
      <c r="C1563"/>
      <c r="D1563"/>
      <c r="E1563"/>
      <c r="F1563"/>
      <c r="G1563"/>
      <c r="H1563"/>
      <c r="I1563"/>
      <c r="J1563"/>
      <c r="K1563"/>
      <c r="L1563"/>
    </row>
    <row r="1564" spans="1:12">
      <c r="A1564"/>
      <c r="B1564"/>
      <c r="C1564"/>
      <c r="D1564"/>
      <c r="E1564"/>
      <c r="F1564"/>
      <c r="G1564"/>
      <c r="H1564"/>
      <c r="I1564"/>
      <c r="J1564"/>
      <c r="K1564"/>
      <c r="L1564"/>
    </row>
    <row r="1565" spans="1:12">
      <c r="A1565"/>
      <c r="B1565"/>
      <c r="C1565"/>
      <c r="D1565"/>
      <c r="E1565"/>
      <c r="F1565"/>
      <c r="G1565"/>
      <c r="H1565"/>
      <c r="I1565"/>
      <c r="J1565"/>
      <c r="K1565"/>
      <c r="L1565"/>
    </row>
    <row r="1566" spans="1:12">
      <c r="A1566"/>
      <c r="B1566"/>
      <c r="C1566"/>
      <c r="D1566"/>
      <c r="E1566"/>
      <c r="F1566"/>
      <c r="G1566"/>
      <c r="H1566"/>
      <c r="I1566"/>
      <c r="J1566"/>
      <c r="K1566"/>
      <c r="L1566"/>
    </row>
    <row r="1567" spans="1:12">
      <c r="A1567"/>
      <c r="B1567"/>
      <c r="C1567"/>
      <c r="D1567"/>
      <c r="E1567"/>
      <c r="F1567"/>
      <c r="G1567"/>
      <c r="H1567"/>
      <c r="I1567"/>
      <c r="J1567"/>
      <c r="K1567"/>
      <c r="L1567"/>
    </row>
    <row r="1568" spans="1:12">
      <c r="A1568"/>
      <c r="B1568"/>
      <c r="C1568"/>
      <c r="D1568"/>
      <c r="E1568"/>
      <c r="F1568"/>
      <c r="G1568"/>
      <c r="H1568"/>
      <c r="I1568"/>
      <c r="J1568"/>
      <c r="K1568"/>
      <c r="L1568"/>
    </row>
    <row r="1569" spans="1:12">
      <c r="A1569"/>
      <c r="B1569"/>
      <c r="C1569"/>
      <c r="D1569"/>
      <c r="E1569"/>
      <c r="F1569"/>
      <c r="G1569"/>
      <c r="H1569"/>
      <c r="I1569"/>
      <c r="J1569"/>
      <c r="K1569"/>
      <c r="L1569"/>
    </row>
    <row r="1570" spans="1:12">
      <c r="A1570"/>
      <c r="B1570"/>
      <c r="C1570"/>
      <c r="D1570"/>
      <c r="E1570"/>
      <c r="F1570"/>
      <c r="G1570"/>
      <c r="H1570"/>
      <c r="I1570"/>
      <c r="J1570"/>
      <c r="K1570"/>
      <c r="L1570"/>
    </row>
    <row r="1571" spans="1:12">
      <c r="A1571"/>
      <c r="B1571"/>
      <c r="C1571"/>
      <c r="D1571"/>
      <c r="E1571"/>
      <c r="F1571"/>
      <c r="G1571"/>
      <c r="H1571"/>
      <c r="I1571"/>
      <c r="J1571"/>
      <c r="K1571"/>
      <c r="L1571"/>
    </row>
    <row r="1572" spans="1:12">
      <c r="A1572"/>
      <c r="B1572"/>
      <c r="C1572"/>
      <c r="D1572"/>
      <c r="E1572"/>
      <c r="F1572"/>
      <c r="G1572"/>
      <c r="H1572"/>
      <c r="I1572"/>
      <c r="J1572"/>
      <c r="K1572"/>
      <c r="L1572"/>
    </row>
    <row r="1573" spans="1:12">
      <c r="A1573"/>
      <c r="B1573"/>
      <c r="C1573"/>
      <c r="D1573"/>
      <c r="E1573"/>
      <c r="F1573"/>
      <c r="G1573"/>
      <c r="H1573"/>
      <c r="I1573"/>
      <c r="J1573"/>
      <c r="K1573"/>
      <c r="L1573"/>
    </row>
    <row r="1574" spans="1:12">
      <c r="A1574"/>
      <c r="B1574"/>
      <c r="C1574"/>
      <c r="D1574"/>
      <c r="E1574"/>
      <c r="F1574"/>
      <c r="G1574"/>
      <c r="H1574"/>
      <c r="I1574"/>
      <c r="J1574"/>
      <c r="K1574"/>
      <c r="L1574"/>
    </row>
    <row r="1575" spans="1:12">
      <c r="A1575"/>
      <c r="B1575"/>
      <c r="C1575"/>
      <c r="D1575"/>
      <c r="E1575"/>
      <c r="F1575"/>
      <c r="G1575"/>
      <c r="H1575"/>
      <c r="I1575"/>
      <c r="J1575"/>
      <c r="K1575"/>
      <c r="L1575"/>
    </row>
    <row r="1576" spans="1:12">
      <c r="A1576"/>
      <c r="B1576"/>
      <c r="C1576"/>
      <c r="D1576"/>
      <c r="E1576"/>
      <c r="F1576"/>
      <c r="G1576"/>
      <c r="H1576"/>
      <c r="I1576"/>
      <c r="J1576"/>
      <c r="K1576"/>
      <c r="L1576"/>
    </row>
    <row r="1577" spans="1:12">
      <c r="A1577"/>
      <c r="B1577"/>
      <c r="C1577"/>
      <c r="D1577"/>
      <c r="E1577"/>
      <c r="F1577"/>
      <c r="G1577"/>
      <c r="H1577"/>
      <c r="I1577"/>
      <c r="J1577"/>
      <c r="K1577"/>
      <c r="L1577"/>
    </row>
    <row r="1578" spans="1:12">
      <c r="A1578"/>
      <c r="B1578"/>
      <c r="C1578"/>
      <c r="D1578"/>
      <c r="E1578"/>
      <c r="F1578"/>
      <c r="G1578"/>
      <c r="H1578"/>
      <c r="I1578"/>
      <c r="J1578"/>
      <c r="K1578"/>
      <c r="L1578"/>
    </row>
    <row r="1579" spans="1:12">
      <c r="A1579"/>
      <c r="B1579"/>
      <c r="C1579"/>
      <c r="D1579"/>
      <c r="E1579"/>
      <c r="F1579"/>
      <c r="G1579"/>
      <c r="H1579"/>
      <c r="I1579"/>
      <c r="J1579"/>
      <c r="K1579"/>
      <c r="L1579"/>
    </row>
    <row r="1580" spans="1:12">
      <c r="A1580"/>
      <c r="B1580"/>
      <c r="C1580"/>
      <c r="D1580"/>
      <c r="E1580"/>
      <c r="F1580"/>
      <c r="G1580"/>
      <c r="H1580"/>
      <c r="I1580"/>
      <c r="J1580"/>
      <c r="K1580"/>
      <c r="L1580"/>
    </row>
    <row r="1581" spans="1:12">
      <c r="A1581"/>
      <c r="B1581"/>
      <c r="C1581"/>
      <c r="D1581"/>
      <c r="E1581"/>
      <c r="F1581"/>
      <c r="G1581"/>
      <c r="H1581"/>
      <c r="I1581"/>
      <c r="J1581"/>
      <c r="K1581"/>
      <c r="L1581"/>
    </row>
    <row r="1582" spans="1:12">
      <c r="A1582"/>
      <c r="B1582"/>
      <c r="C1582"/>
      <c r="D1582"/>
      <c r="E1582"/>
      <c r="F1582"/>
      <c r="G1582"/>
      <c r="H1582"/>
      <c r="I1582"/>
      <c r="J1582"/>
      <c r="K1582"/>
      <c r="L1582"/>
    </row>
    <row r="1583" spans="1:12">
      <c r="A1583"/>
      <c r="B1583"/>
      <c r="C1583"/>
      <c r="D1583"/>
      <c r="E1583"/>
      <c r="F1583"/>
      <c r="G1583"/>
      <c r="H1583"/>
      <c r="I1583"/>
      <c r="J1583"/>
      <c r="K1583"/>
      <c r="L1583"/>
    </row>
    <row r="1584" spans="1:12">
      <c r="A1584"/>
      <c r="B1584"/>
      <c r="C1584"/>
      <c r="D1584"/>
      <c r="E1584"/>
      <c r="F1584"/>
      <c r="G1584"/>
      <c r="H1584"/>
      <c r="I1584"/>
      <c r="J1584"/>
      <c r="K1584"/>
      <c r="L1584"/>
    </row>
    <row r="1585" spans="1:12">
      <c r="A1585"/>
      <c r="B1585"/>
      <c r="C1585"/>
      <c r="D1585"/>
      <c r="E1585"/>
      <c r="F1585"/>
      <c r="G1585"/>
      <c r="H1585"/>
      <c r="I1585"/>
      <c r="J1585"/>
      <c r="K1585"/>
      <c r="L1585"/>
    </row>
    <row r="1586" spans="1:12">
      <c r="A1586"/>
      <c r="B1586"/>
      <c r="C1586"/>
      <c r="D1586"/>
      <c r="E1586"/>
      <c r="F1586"/>
      <c r="G1586"/>
      <c r="H1586"/>
      <c r="I1586"/>
      <c r="J1586"/>
      <c r="K1586"/>
      <c r="L1586"/>
    </row>
    <row r="1587" spans="1:12">
      <c r="A1587"/>
      <c r="B1587"/>
      <c r="C1587"/>
      <c r="D1587"/>
      <c r="E1587"/>
      <c r="F1587"/>
      <c r="G1587"/>
      <c r="H1587"/>
      <c r="I1587"/>
      <c r="J1587"/>
      <c r="K1587"/>
      <c r="L1587"/>
    </row>
    <row r="1588" spans="1:12">
      <c r="A1588"/>
      <c r="B1588"/>
      <c r="C1588"/>
      <c r="D1588"/>
      <c r="E1588"/>
      <c r="F1588"/>
      <c r="G1588"/>
      <c r="H1588"/>
      <c r="I1588"/>
      <c r="J1588"/>
      <c r="K1588"/>
      <c r="L1588"/>
    </row>
    <row r="1589" spans="1:12">
      <c r="A1589"/>
      <c r="B1589"/>
      <c r="C1589"/>
      <c r="D1589"/>
      <c r="E1589"/>
      <c r="F1589"/>
      <c r="G1589"/>
      <c r="H1589"/>
      <c r="I1589"/>
      <c r="J1589"/>
      <c r="K1589"/>
      <c r="L1589"/>
    </row>
    <row r="1590" spans="1:12">
      <c r="A1590"/>
      <c r="B1590"/>
      <c r="C1590"/>
      <c r="D1590"/>
      <c r="E1590"/>
      <c r="F1590"/>
      <c r="G1590"/>
      <c r="H1590"/>
      <c r="I1590"/>
      <c r="J1590"/>
      <c r="K1590"/>
      <c r="L1590"/>
    </row>
    <row r="1591" spans="1:12">
      <c r="A1591"/>
      <c r="B1591"/>
      <c r="C1591"/>
      <c r="D1591"/>
      <c r="E1591"/>
      <c r="F1591"/>
      <c r="G1591"/>
      <c r="H1591"/>
      <c r="I1591"/>
      <c r="J1591"/>
      <c r="K1591"/>
      <c r="L1591"/>
    </row>
    <row r="1592" spans="1:12">
      <c r="A1592"/>
      <c r="B1592"/>
      <c r="C1592"/>
      <c r="D1592"/>
      <c r="E1592"/>
      <c r="F1592"/>
      <c r="G1592"/>
      <c r="H1592"/>
      <c r="I1592"/>
      <c r="J1592"/>
      <c r="K1592"/>
      <c r="L1592"/>
    </row>
    <row r="1593" spans="1:12">
      <c r="A1593"/>
      <c r="B1593"/>
      <c r="C1593"/>
      <c r="D1593"/>
      <c r="E1593"/>
      <c r="F1593"/>
      <c r="G1593"/>
      <c r="H1593"/>
      <c r="I1593"/>
      <c r="J1593"/>
      <c r="K1593"/>
      <c r="L1593"/>
    </row>
    <row r="1594" spans="1:12">
      <c r="A1594"/>
      <c r="B1594"/>
      <c r="C1594"/>
      <c r="D1594"/>
      <c r="E1594"/>
      <c r="F1594"/>
      <c r="G1594"/>
      <c r="H1594"/>
      <c r="I1594"/>
      <c r="J1594"/>
      <c r="K1594"/>
      <c r="L1594"/>
    </row>
    <row r="1595" spans="1:12">
      <c r="A1595"/>
      <c r="B1595"/>
      <c r="C1595"/>
      <c r="D1595"/>
      <c r="E1595"/>
      <c r="F1595"/>
      <c r="G1595"/>
      <c r="H1595"/>
      <c r="I1595"/>
      <c r="J1595"/>
      <c r="K1595"/>
      <c r="L1595"/>
    </row>
    <row r="1596" spans="1:12">
      <c r="A1596"/>
      <c r="B1596"/>
      <c r="C1596"/>
      <c r="D1596"/>
      <c r="E1596"/>
      <c r="F1596"/>
      <c r="G1596"/>
      <c r="H1596"/>
      <c r="I1596"/>
      <c r="J1596"/>
      <c r="K1596"/>
      <c r="L1596"/>
    </row>
    <row r="1597" spans="1:12">
      <c r="A1597"/>
      <c r="B1597"/>
      <c r="C1597"/>
      <c r="D1597"/>
      <c r="E1597"/>
      <c r="F1597"/>
      <c r="G1597"/>
      <c r="H1597"/>
      <c r="I1597"/>
      <c r="J1597"/>
      <c r="K1597"/>
      <c r="L1597"/>
    </row>
    <row r="1598" spans="1:12">
      <c r="A1598"/>
      <c r="B1598"/>
      <c r="C1598"/>
      <c r="D1598"/>
      <c r="E1598"/>
      <c r="F1598"/>
      <c r="G1598"/>
      <c r="H1598"/>
      <c r="I1598"/>
      <c r="J1598"/>
      <c r="K1598"/>
      <c r="L1598"/>
    </row>
    <row r="1599" spans="1:12">
      <c r="A1599"/>
      <c r="B1599"/>
      <c r="C1599"/>
      <c r="D1599"/>
      <c r="E1599"/>
      <c r="F1599"/>
      <c r="G1599"/>
      <c r="H1599"/>
      <c r="I1599"/>
      <c r="J1599"/>
      <c r="K1599"/>
      <c r="L1599"/>
    </row>
    <row r="1600" spans="1:12">
      <c r="A1600"/>
      <c r="B1600"/>
      <c r="C1600"/>
      <c r="D1600"/>
      <c r="E1600"/>
      <c r="F1600"/>
      <c r="G1600"/>
      <c r="H1600"/>
      <c r="I1600"/>
      <c r="J1600"/>
      <c r="K1600"/>
      <c r="L1600"/>
    </row>
    <row r="1601" spans="1:12">
      <c r="A1601"/>
      <c r="B1601"/>
      <c r="C1601"/>
      <c r="D1601"/>
      <c r="E1601"/>
      <c r="F1601"/>
      <c r="G1601"/>
      <c r="H1601"/>
      <c r="I1601"/>
      <c r="J1601"/>
      <c r="K1601"/>
      <c r="L1601"/>
    </row>
    <row r="1602" spans="1:12">
      <c r="A1602"/>
      <c r="B1602"/>
      <c r="C1602"/>
      <c r="D1602"/>
      <c r="E1602"/>
      <c r="F1602"/>
      <c r="G1602"/>
      <c r="H1602"/>
      <c r="I1602"/>
      <c r="J1602"/>
      <c r="K1602"/>
      <c r="L1602"/>
    </row>
    <row r="1603" spans="1:12">
      <c r="A1603"/>
      <c r="B1603"/>
      <c r="C1603"/>
      <c r="D1603"/>
      <c r="E1603"/>
      <c r="F1603"/>
      <c r="G1603"/>
      <c r="H1603"/>
      <c r="I1603"/>
      <c r="J1603"/>
      <c r="K1603"/>
      <c r="L1603"/>
    </row>
    <row r="1604" spans="1:12">
      <c r="A1604"/>
      <c r="B1604"/>
      <c r="C1604"/>
      <c r="D1604"/>
      <c r="E1604"/>
      <c r="F1604"/>
      <c r="G1604"/>
      <c r="H1604"/>
      <c r="I1604"/>
      <c r="J1604"/>
      <c r="K1604"/>
      <c r="L1604"/>
    </row>
    <row r="1605" spans="1:12">
      <c r="A1605"/>
      <c r="B1605"/>
      <c r="C1605"/>
      <c r="D1605"/>
      <c r="E1605"/>
      <c r="F1605"/>
      <c r="G1605"/>
      <c r="H1605"/>
      <c r="I1605"/>
      <c r="J1605"/>
      <c r="K1605"/>
      <c r="L1605"/>
    </row>
    <row r="1606" spans="1:12">
      <c r="A1606"/>
      <c r="B1606"/>
      <c r="C1606"/>
      <c r="D1606"/>
      <c r="E1606"/>
      <c r="F1606"/>
      <c r="G1606"/>
      <c r="H1606"/>
      <c r="I1606"/>
      <c r="J1606"/>
      <c r="K1606"/>
      <c r="L1606"/>
    </row>
    <row r="1607" spans="1:12">
      <c r="A1607"/>
      <c r="B1607"/>
      <c r="C1607"/>
      <c r="D1607"/>
      <c r="E1607"/>
      <c r="F1607"/>
      <c r="G1607"/>
      <c r="H1607"/>
      <c r="I1607"/>
      <c r="J1607"/>
      <c r="K1607"/>
      <c r="L1607"/>
    </row>
    <row r="1608" spans="1:12">
      <c r="A1608"/>
      <c r="B1608"/>
      <c r="C1608"/>
      <c r="D1608"/>
      <c r="E1608"/>
      <c r="F1608"/>
      <c r="G1608"/>
      <c r="H1608"/>
      <c r="I1608"/>
      <c r="J1608"/>
      <c r="K1608"/>
      <c r="L1608"/>
    </row>
    <row r="1609" spans="1:12">
      <c r="A1609"/>
      <c r="B1609"/>
      <c r="C1609"/>
      <c r="D1609"/>
      <c r="E1609"/>
      <c r="F1609"/>
      <c r="G1609"/>
      <c r="H1609"/>
      <c r="I1609"/>
      <c r="J1609"/>
      <c r="K1609"/>
      <c r="L1609"/>
    </row>
    <row r="1610" spans="1:12">
      <c r="A1610"/>
      <c r="B1610"/>
      <c r="C1610"/>
      <c r="D1610"/>
      <c r="E1610"/>
      <c r="F1610"/>
      <c r="G1610"/>
      <c r="H1610"/>
      <c r="I1610"/>
      <c r="J1610"/>
      <c r="K1610"/>
      <c r="L1610"/>
    </row>
    <row r="1611" spans="1:12">
      <c r="A1611"/>
      <c r="B1611"/>
      <c r="C1611"/>
      <c r="D1611"/>
      <c r="E1611"/>
      <c r="F1611"/>
      <c r="G1611"/>
      <c r="H1611"/>
      <c r="I1611"/>
      <c r="J1611"/>
      <c r="K1611"/>
      <c r="L1611"/>
    </row>
    <row r="1612" spans="1:12">
      <c r="A1612"/>
      <c r="B1612"/>
      <c r="C1612"/>
      <c r="D1612"/>
      <c r="E1612"/>
      <c r="F1612"/>
      <c r="G1612"/>
      <c r="H1612"/>
      <c r="I1612"/>
      <c r="J1612"/>
      <c r="K1612"/>
      <c r="L1612"/>
    </row>
    <row r="1613" spans="1:12">
      <c r="A1613"/>
      <c r="B1613"/>
      <c r="C1613"/>
      <c r="D1613"/>
      <c r="E1613"/>
      <c r="F1613"/>
      <c r="G1613"/>
      <c r="H1613"/>
      <c r="I1613"/>
      <c r="J1613"/>
      <c r="K1613"/>
      <c r="L1613"/>
    </row>
    <row r="1614" spans="1:12">
      <c r="A1614"/>
      <c r="B1614"/>
      <c r="C1614"/>
      <c r="D1614"/>
      <c r="E1614"/>
      <c r="F1614"/>
      <c r="G1614"/>
      <c r="H1614"/>
      <c r="I1614"/>
      <c r="J1614"/>
      <c r="K1614"/>
      <c r="L1614"/>
    </row>
    <row r="1615" spans="1:12">
      <c r="A1615"/>
      <c r="B1615"/>
      <c r="C1615"/>
      <c r="D1615"/>
      <c r="E1615"/>
      <c r="F1615"/>
      <c r="G1615"/>
      <c r="H1615"/>
      <c r="I1615"/>
      <c r="J1615"/>
      <c r="K1615"/>
      <c r="L1615"/>
    </row>
    <row r="1616" spans="1:12">
      <c r="A1616"/>
      <c r="B1616"/>
      <c r="C1616"/>
      <c r="D1616"/>
      <c r="E1616"/>
      <c r="F1616"/>
      <c r="G1616"/>
      <c r="H1616"/>
      <c r="I1616"/>
      <c r="J1616"/>
      <c r="K1616"/>
      <c r="L1616"/>
    </row>
    <row r="1617" spans="1:12">
      <c r="A1617"/>
      <c r="B1617"/>
      <c r="C1617"/>
      <c r="D1617"/>
      <c r="E1617"/>
      <c r="F1617"/>
      <c r="G1617"/>
      <c r="H1617"/>
      <c r="I1617"/>
      <c r="J1617"/>
      <c r="K1617"/>
      <c r="L1617"/>
    </row>
    <row r="1618" spans="1:12">
      <c r="A1618"/>
      <c r="B1618"/>
      <c r="C1618"/>
      <c r="D1618"/>
      <c r="E1618"/>
      <c r="F1618"/>
      <c r="G1618"/>
      <c r="H1618"/>
      <c r="I1618"/>
      <c r="J1618"/>
      <c r="K1618"/>
      <c r="L1618"/>
    </row>
    <row r="1619" spans="1:12">
      <c r="A1619"/>
      <c r="B1619"/>
      <c r="C1619"/>
      <c r="D1619"/>
      <c r="E1619"/>
      <c r="F1619"/>
      <c r="G1619"/>
      <c r="H1619"/>
      <c r="I1619"/>
      <c r="J1619"/>
      <c r="K1619"/>
      <c r="L1619"/>
    </row>
    <row r="1620" spans="1:12">
      <c r="A1620"/>
      <c r="B1620"/>
      <c r="C1620"/>
      <c r="D1620"/>
      <c r="E1620"/>
      <c r="F1620"/>
      <c r="G1620"/>
      <c r="H1620"/>
      <c r="I1620"/>
      <c r="J1620"/>
      <c r="K1620"/>
      <c r="L1620"/>
    </row>
    <row r="1621" spans="1:12">
      <c r="A1621"/>
      <c r="B1621"/>
      <c r="C1621"/>
      <c r="D1621"/>
      <c r="E1621"/>
      <c r="F1621"/>
      <c r="G1621"/>
      <c r="H1621"/>
      <c r="I1621"/>
      <c r="J1621"/>
      <c r="K1621"/>
      <c r="L1621"/>
    </row>
    <row r="1622" spans="1:12">
      <c r="A1622"/>
      <c r="B1622"/>
      <c r="C1622"/>
      <c r="D1622"/>
      <c r="E1622"/>
      <c r="F1622"/>
      <c r="G1622"/>
      <c r="H1622"/>
      <c r="I1622"/>
      <c r="J1622"/>
      <c r="K1622"/>
      <c r="L1622"/>
    </row>
    <row r="1623" spans="1:12">
      <c r="A1623"/>
      <c r="B1623"/>
      <c r="C1623"/>
      <c r="D1623"/>
      <c r="E1623"/>
      <c r="F1623"/>
      <c r="G1623"/>
      <c r="H1623"/>
      <c r="I1623"/>
      <c r="J1623"/>
      <c r="K1623"/>
      <c r="L1623"/>
    </row>
    <row r="1624" spans="1:12">
      <c r="A1624"/>
      <c r="B1624"/>
      <c r="C1624"/>
      <c r="D1624"/>
      <c r="E1624"/>
      <c r="F1624"/>
      <c r="G1624"/>
      <c r="H1624"/>
      <c r="I1624"/>
      <c r="J1624"/>
      <c r="K1624"/>
      <c r="L1624"/>
    </row>
    <row r="1625" spans="1:12">
      <c r="A1625"/>
      <c r="B1625"/>
      <c r="C1625"/>
      <c r="D1625"/>
      <c r="E1625"/>
      <c r="F1625"/>
      <c r="G1625"/>
      <c r="H1625"/>
      <c r="I1625"/>
      <c r="J1625"/>
      <c r="K1625"/>
      <c r="L1625"/>
    </row>
    <row r="1626" spans="1:12">
      <c r="A1626"/>
      <c r="B1626"/>
      <c r="C1626"/>
      <c r="D1626"/>
      <c r="E1626"/>
      <c r="F1626"/>
      <c r="G1626"/>
      <c r="H1626"/>
      <c r="I1626"/>
      <c r="J1626"/>
      <c r="K1626"/>
      <c r="L1626"/>
    </row>
    <row r="1627" spans="1:12">
      <c r="A1627"/>
      <c r="B1627"/>
      <c r="C1627"/>
      <c r="D1627"/>
      <c r="E1627"/>
      <c r="F1627"/>
      <c r="G1627"/>
      <c r="H1627"/>
      <c r="I1627"/>
      <c r="J1627"/>
      <c r="K1627"/>
      <c r="L1627"/>
    </row>
    <row r="1628" spans="1:12">
      <c r="A1628"/>
      <c r="B1628"/>
      <c r="C1628"/>
      <c r="D1628"/>
      <c r="E1628"/>
      <c r="F1628"/>
      <c r="G1628"/>
      <c r="H1628"/>
      <c r="I1628"/>
      <c r="J1628"/>
      <c r="K1628"/>
      <c r="L1628"/>
    </row>
    <row r="1629" spans="1:12">
      <c r="A1629"/>
      <c r="B1629"/>
      <c r="C1629"/>
      <c r="D1629"/>
      <c r="E1629"/>
      <c r="F1629"/>
      <c r="G1629"/>
      <c r="H1629"/>
      <c r="I1629"/>
      <c r="J1629"/>
      <c r="K1629"/>
      <c r="L1629"/>
    </row>
    <row r="1630" spans="1:12">
      <c r="A1630"/>
      <c r="B1630"/>
      <c r="C1630"/>
      <c r="D1630"/>
      <c r="E1630"/>
      <c r="F1630"/>
      <c r="G1630"/>
      <c r="H1630"/>
      <c r="I1630"/>
      <c r="J1630"/>
      <c r="K1630"/>
      <c r="L1630"/>
    </row>
    <row r="1631" spans="1:12">
      <c r="A1631"/>
      <c r="B1631"/>
      <c r="C1631"/>
      <c r="D1631"/>
      <c r="E1631"/>
      <c r="F1631"/>
      <c r="G1631"/>
      <c r="H1631"/>
      <c r="I1631"/>
      <c r="J1631"/>
      <c r="K1631"/>
      <c r="L1631"/>
    </row>
    <row r="1632" spans="1:12">
      <c r="A1632"/>
      <c r="B1632"/>
      <c r="C1632"/>
      <c r="D1632"/>
      <c r="E1632"/>
      <c r="F1632"/>
      <c r="G1632"/>
      <c r="H1632"/>
      <c r="I1632"/>
      <c r="J1632"/>
      <c r="K1632"/>
      <c r="L1632"/>
    </row>
    <row r="1633" spans="1:12">
      <c r="A1633"/>
      <c r="B1633"/>
      <c r="C1633"/>
      <c r="D1633"/>
      <c r="E1633"/>
      <c r="F1633"/>
      <c r="G1633"/>
      <c r="H1633"/>
      <c r="I1633"/>
      <c r="J1633"/>
      <c r="K1633"/>
      <c r="L1633"/>
    </row>
    <row r="1634" spans="1:12">
      <c r="A1634"/>
      <c r="B1634"/>
      <c r="C1634"/>
      <c r="D1634"/>
      <c r="E1634"/>
      <c r="F1634"/>
      <c r="G1634"/>
      <c r="H1634"/>
      <c r="I1634"/>
      <c r="J1634"/>
      <c r="K1634"/>
      <c r="L1634"/>
    </row>
    <row r="1635" spans="1:12">
      <c r="A1635"/>
      <c r="B1635"/>
      <c r="C1635"/>
      <c r="D1635"/>
      <c r="E1635"/>
      <c r="F1635"/>
      <c r="G1635"/>
      <c r="H1635"/>
      <c r="I1635"/>
      <c r="J1635"/>
      <c r="K1635"/>
      <c r="L1635"/>
    </row>
    <row r="1636" spans="1:12">
      <c r="A1636"/>
      <c r="B1636"/>
      <c r="C1636"/>
      <c r="D1636"/>
      <c r="E1636"/>
      <c r="F1636"/>
      <c r="G1636"/>
      <c r="H1636"/>
      <c r="I1636"/>
      <c r="J1636"/>
      <c r="K1636"/>
      <c r="L1636"/>
    </row>
    <row r="1637" spans="1:12">
      <c r="A1637"/>
      <c r="B1637"/>
      <c r="C1637"/>
      <c r="D1637"/>
      <c r="E1637"/>
      <c r="F1637"/>
      <c r="G1637"/>
      <c r="H1637"/>
      <c r="I1637"/>
      <c r="J1637"/>
      <c r="K1637"/>
      <c r="L1637"/>
    </row>
    <row r="1638" spans="1:12">
      <c r="A1638"/>
      <c r="B1638"/>
      <c r="C1638"/>
      <c r="D1638"/>
      <c r="E1638"/>
      <c r="F1638"/>
      <c r="G1638"/>
      <c r="H1638"/>
      <c r="I1638"/>
      <c r="J1638"/>
      <c r="K1638"/>
      <c r="L1638"/>
    </row>
    <row r="1639" spans="1:12">
      <c r="A1639"/>
      <c r="B1639"/>
      <c r="C1639"/>
      <c r="D1639"/>
      <c r="E1639"/>
      <c r="F1639"/>
      <c r="G1639"/>
      <c r="H1639"/>
      <c r="I1639"/>
      <c r="J1639"/>
      <c r="K1639"/>
      <c r="L1639"/>
    </row>
    <row r="1640" spans="1:12">
      <c r="A1640"/>
      <c r="B1640"/>
      <c r="C1640"/>
      <c r="D1640"/>
      <c r="E1640"/>
      <c r="F1640"/>
      <c r="G1640"/>
      <c r="H1640"/>
      <c r="I1640"/>
      <c r="J1640"/>
      <c r="K1640"/>
      <c r="L1640"/>
    </row>
    <row r="1641" spans="1:12">
      <c r="A1641"/>
      <c r="B1641"/>
      <c r="C1641"/>
      <c r="D1641"/>
      <c r="E1641"/>
      <c r="F1641"/>
      <c r="G1641"/>
      <c r="H1641"/>
      <c r="I1641"/>
      <c r="J1641"/>
      <c r="K1641"/>
      <c r="L1641"/>
    </row>
    <row r="1642" spans="1:12">
      <c r="A1642"/>
      <c r="B1642"/>
      <c r="C1642"/>
      <c r="D1642"/>
      <c r="E1642"/>
      <c r="F1642"/>
      <c r="G1642"/>
      <c r="H1642"/>
      <c r="I1642"/>
      <c r="J1642"/>
      <c r="K1642"/>
      <c r="L1642"/>
    </row>
    <row r="1643" spans="1:12">
      <c r="A1643"/>
      <c r="B1643"/>
      <c r="C1643"/>
      <c r="D1643"/>
      <c r="E1643"/>
      <c r="F1643"/>
      <c r="G1643"/>
      <c r="H1643"/>
      <c r="I1643"/>
      <c r="J1643"/>
      <c r="K1643"/>
      <c r="L1643"/>
    </row>
    <row r="1644" spans="1:12">
      <c r="A1644"/>
      <c r="B1644"/>
      <c r="C1644"/>
      <c r="D1644"/>
      <c r="E1644"/>
      <c r="F1644"/>
      <c r="G1644"/>
      <c r="H1644"/>
      <c r="I1644"/>
      <c r="J1644"/>
      <c r="K1644"/>
      <c r="L1644"/>
    </row>
    <row r="1645" spans="1:12">
      <c r="A1645"/>
      <c r="B1645"/>
      <c r="C1645"/>
      <c r="D1645"/>
      <c r="E1645"/>
      <c r="F1645"/>
      <c r="G1645"/>
      <c r="H1645"/>
      <c r="I1645"/>
      <c r="J1645"/>
      <c r="K1645"/>
      <c r="L1645"/>
    </row>
    <row r="1646" spans="1:12">
      <c r="A1646"/>
      <c r="B1646"/>
      <c r="C1646"/>
      <c r="D1646"/>
      <c r="E1646"/>
      <c r="F1646"/>
      <c r="G1646"/>
      <c r="H1646"/>
      <c r="I1646"/>
      <c r="J1646"/>
      <c r="K1646"/>
      <c r="L1646"/>
    </row>
    <row r="1647" spans="1:12">
      <c r="A1647"/>
      <c r="B1647"/>
      <c r="C1647"/>
      <c r="D1647"/>
      <c r="E1647"/>
      <c r="F1647"/>
      <c r="G1647"/>
      <c r="H1647"/>
      <c r="I1647"/>
      <c r="J1647"/>
      <c r="K1647"/>
      <c r="L1647"/>
    </row>
    <row r="1648" spans="1:12">
      <c r="A1648"/>
      <c r="B1648"/>
      <c r="C1648"/>
      <c r="D1648"/>
      <c r="E1648"/>
      <c r="F1648"/>
      <c r="G1648"/>
      <c r="H1648"/>
      <c r="I1648"/>
      <c r="J1648"/>
      <c r="K1648"/>
      <c r="L1648"/>
    </row>
    <row r="1649" spans="1:12">
      <c r="A1649"/>
      <c r="B1649"/>
      <c r="C1649"/>
      <c r="D1649"/>
      <c r="E1649"/>
      <c r="F1649"/>
      <c r="G1649"/>
      <c r="H1649"/>
      <c r="I1649"/>
      <c r="J1649"/>
      <c r="K1649"/>
      <c r="L1649"/>
    </row>
    <row r="1650" spans="1:12">
      <c r="A1650"/>
      <c r="B1650"/>
      <c r="C1650"/>
      <c r="D1650"/>
      <c r="E1650"/>
      <c r="F1650"/>
      <c r="G1650"/>
      <c r="H1650"/>
      <c r="I1650"/>
      <c r="J1650"/>
      <c r="K1650"/>
      <c r="L1650"/>
    </row>
    <row r="1651" spans="1:12">
      <c r="A1651"/>
      <c r="B1651"/>
      <c r="C1651"/>
      <c r="D1651"/>
      <c r="E1651"/>
      <c r="F1651"/>
      <c r="G1651"/>
      <c r="H1651"/>
      <c r="I1651"/>
      <c r="J1651"/>
      <c r="K1651"/>
      <c r="L1651"/>
    </row>
    <row r="1652" spans="1:12">
      <c r="A1652"/>
      <c r="B1652"/>
      <c r="C1652"/>
      <c r="D1652"/>
      <c r="E1652"/>
      <c r="F1652"/>
      <c r="G1652"/>
      <c r="H1652"/>
      <c r="I1652"/>
      <c r="J1652"/>
      <c r="K1652"/>
      <c r="L1652"/>
    </row>
    <row r="1653" spans="1:12">
      <c r="A1653"/>
      <c r="B1653"/>
      <c r="C1653"/>
      <c r="D1653"/>
      <c r="E1653"/>
      <c r="F1653"/>
      <c r="G1653"/>
      <c r="H1653"/>
      <c r="I1653"/>
      <c r="J1653"/>
      <c r="K1653"/>
      <c r="L1653"/>
    </row>
    <row r="1654" spans="1:12">
      <c r="A1654"/>
      <c r="B1654"/>
      <c r="C1654"/>
      <c r="D1654"/>
      <c r="E1654"/>
      <c r="F1654"/>
      <c r="G1654"/>
      <c r="H1654"/>
      <c r="I1654"/>
      <c r="J1654"/>
      <c r="K1654"/>
      <c r="L1654"/>
    </row>
    <row r="1655" spans="1:12">
      <c r="A1655"/>
      <c r="B1655"/>
      <c r="C1655"/>
      <c r="D1655"/>
      <c r="E1655"/>
      <c r="F1655"/>
      <c r="G1655"/>
      <c r="H1655"/>
      <c r="I1655"/>
      <c r="J1655"/>
      <c r="K1655"/>
      <c r="L1655"/>
    </row>
    <row r="1656" spans="1:12">
      <c r="A1656"/>
      <c r="B1656"/>
      <c r="C1656"/>
      <c r="D1656"/>
      <c r="E1656"/>
      <c r="F1656"/>
      <c r="G1656"/>
      <c r="H1656"/>
      <c r="I1656"/>
      <c r="J1656"/>
      <c r="K1656"/>
      <c r="L1656"/>
    </row>
    <row r="1657" spans="1:12">
      <c r="A1657"/>
      <c r="B1657"/>
      <c r="C1657"/>
      <c r="D1657"/>
      <c r="E1657"/>
      <c r="F1657"/>
      <c r="G1657"/>
      <c r="H1657"/>
      <c r="I1657"/>
      <c r="J1657"/>
      <c r="K1657"/>
      <c r="L1657"/>
    </row>
    <row r="1658" spans="1:12">
      <c r="A1658"/>
      <c r="B1658"/>
      <c r="C1658"/>
      <c r="D1658"/>
      <c r="E1658"/>
      <c r="F1658"/>
      <c r="G1658"/>
      <c r="H1658"/>
      <c r="I1658"/>
      <c r="J1658"/>
      <c r="K1658"/>
      <c r="L1658"/>
    </row>
    <row r="1659" spans="1:12">
      <c r="A1659"/>
      <c r="B1659"/>
      <c r="C1659"/>
      <c r="D1659"/>
      <c r="E1659"/>
      <c r="F1659"/>
      <c r="G1659"/>
      <c r="H1659"/>
      <c r="I1659"/>
      <c r="J1659"/>
      <c r="K1659"/>
      <c r="L1659"/>
    </row>
    <row r="1660" spans="1:12">
      <c r="A1660"/>
      <c r="B1660"/>
      <c r="C1660"/>
      <c r="D1660"/>
      <c r="E1660"/>
      <c r="F1660"/>
      <c r="G1660"/>
      <c r="H1660"/>
      <c r="I1660"/>
      <c r="J1660"/>
      <c r="K1660"/>
      <c r="L1660"/>
    </row>
    <row r="1661" spans="1:12">
      <c r="A1661"/>
      <c r="B1661"/>
      <c r="C1661"/>
      <c r="D1661"/>
      <c r="E1661"/>
      <c r="F1661"/>
      <c r="G1661"/>
      <c r="H1661"/>
      <c r="I1661"/>
      <c r="J1661"/>
      <c r="K1661"/>
      <c r="L1661"/>
    </row>
    <row r="1662" spans="1:12">
      <c r="A1662"/>
      <c r="B1662"/>
      <c r="C1662"/>
      <c r="D1662"/>
      <c r="E1662"/>
      <c r="F1662"/>
      <c r="G1662"/>
      <c r="H1662"/>
      <c r="I1662"/>
      <c r="J1662"/>
      <c r="K1662"/>
      <c r="L1662"/>
    </row>
    <row r="1663" spans="1:12">
      <c r="A1663"/>
      <c r="B1663"/>
      <c r="C1663"/>
      <c r="D1663"/>
      <c r="E1663"/>
      <c r="F1663"/>
      <c r="G1663"/>
      <c r="H1663"/>
      <c r="I1663"/>
      <c r="J1663"/>
      <c r="K1663"/>
      <c r="L1663"/>
    </row>
    <row r="1664" spans="1:12">
      <c r="A1664"/>
      <c r="B1664"/>
      <c r="C1664"/>
      <c r="D1664"/>
      <c r="E1664"/>
      <c r="F1664"/>
      <c r="G1664"/>
      <c r="H1664"/>
      <c r="I1664"/>
      <c r="J1664"/>
      <c r="K1664"/>
      <c r="L1664"/>
    </row>
    <row r="1665" spans="1:12">
      <c r="A1665"/>
      <c r="B1665"/>
      <c r="C1665"/>
      <c r="D1665"/>
      <c r="E1665"/>
      <c r="F1665"/>
      <c r="G1665"/>
      <c r="H1665"/>
      <c r="I1665"/>
      <c r="J1665"/>
      <c r="K1665"/>
      <c r="L1665"/>
    </row>
    <row r="1666" spans="1:12">
      <c r="A1666"/>
      <c r="B1666"/>
      <c r="C1666"/>
      <c r="D1666"/>
      <c r="E1666"/>
      <c r="F1666"/>
      <c r="G1666"/>
      <c r="H1666"/>
      <c r="I1666"/>
      <c r="J1666"/>
      <c r="K1666"/>
      <c r="L1666"/>
    </row>
    <row r="1667" spans="1:12">
      <c r="A1667"/>
      <c r="B1667"/>
      <c r="C1667"/>
      <c r="D1667"/>
      <c r="E1667"/>
      <c r="F1667"/>
      <c r="G1667"/>
      <c r="H1667"/>
      <c r="I1667"/>
      <c r="J1667"/>
      <c r="K1667"/>
      <c r="L1667"/>
    </row>
    <row r="1668" spans="1:12">
      <c r="A1668"/>
      <c r="B1668"/>
      <c r="C1668"/>
      <c r="D1668"/>
      <c r="E1668"/>
      <c r="F1668"/>
      <c r="G1668"/>
      <c r="H1668"/>
      <c r="I1668"/>
      <c r="J1668"/>
      <c r="K1668"/>
      <c r="L1668"/>
    </row>
    <row r="1669" spans="1:12">
      <c r="A1669"/>
      <c r="B1669"/>
      <c r="C1669"/>
      <c r="D1669"/>
      <c r="E1669"/>
      <c r="F1669"/>
      <c r="G1669"/>
      <c r="H1669"/>
      <c r="I1669"/>
      <c r="J1669"/>
      <c r="K1669"/>
      <c r="L1669"/>
    </row>
    <row r="1670" spans="1:12">
      <c r="A1670"/>
      <c r="B1670"/>
      <c r="C1670"/>
      <c r="D1670"/>
      <c r="E1670"/>
      <c r="F1670"/>
      <c r="G1670"/>
      <c r="H1670"/>
      <c r="I1670"/>
      <c r="J1670"/>
      <c r="K1670"/>
      <c r="L1670"/>
    </row>
    <row r="1671" spans="1:12">
      <c r="A1671"/>
      <c r="B1671"/>
      <c r="C1671"/>
      <c r="D1671"/>
      <c r="E1671"/>
      <c r="F1671"/>
      <c r="G1671"/>
      <c r="H1671"/>
      <c r="I1671"/>
      <c r="J1671"/>
      <c r="K1671"/>
      <c r="L1671"/>
    </row>
    <row r="1672" spans="1:12">
      <c r="A1672"/>
      <c r="B1672"/>
      <c r="C1672"/>
      <c r="D1672"/>
      <c r="E1672"/>
      <c r="F1672"/>
      <c r="G1672"/>
      <c r="H1672"/>
      <c r="I1672"/>
      <c r="J1672"/>
      <c r="K1672"/>
      <c r="L1672"/>
    </row>
    <row r="1673" spans="1:12">
      <c r="A1673"/>
      <c r="B1673"/>
      <c r="C1673"/>
      <c r="D1673"/>
      <c r="E1673"/>
      <c r="F1673"/>
      <c r="G1673"/>
      <c r="H1673"/>
      <c r="I1673"/>
      <c r="J1673"/>
      <c r="K1673"/>
      <c r="L1673"/>
    </row>
    <row r="1674" spans="1:12">
      <c r="A1674"/>
      <c r="B1674"/>
      <c r="C1674"/>
      <c r="D1674"/>
      <c r="E1674"/>
      <c r="F1674"/>
      <c r="G1674"/>
      <c r="H1674"/>
      <c r="I1674"/>
      <c r="J1674"/>
      <c r="K1674"/>
      <c r="L1674"/>
    </row>
    <row r="1675" spans="1:12">
      <c r="A1675"/>
      <c r="B1675"/>
      <c r="C1675"/>
      <c r="D1675"/>
      <c r="E1675"/>
      <c r="F1675"/>
      <c r="G1675"/>
      <c r="H1675"/>
      <c r="I1675"/>
      <c r="J1675"/>
      <c r="K1675"/>
      <c r="L1675"/>
    </row>
    <row r="1676" spans="1:12">
      <c r="A1676"/>
      <c r="B1676"/>
      <c r="C1676"/>
      <c r="D1676"/>
      <c r="E1676"/>
      <c r="F1676"/>
      <c r="G1676"/>
      <c r="H1676"/>
      <c r="I1676"/>
      <c r="J1676"/>
      <c r="K1676"/>
      <c r="L1676"/>
    </row>
    <row r="1677" spans="1:12">
      <c r="A1677"/>
      <c r="B1677"/>
      <c r="C1677"/>
      <c r="D1677"/>
      <c r="E1677"/>
      <c r="F1677"/>
      <c r="G1677"/>
      <c r="H1677"/>
      <c r="I1677"/>
      <c r="J1677"/>
      <c r="K1677"/>
      <c r="L1677"/>
    </row>
    <row r="1678" spans="1:12">
      <c r="A1678"/>
      <c r="B1678"/>
      <c r="C1678"/>
      <c r="D1678"/>
      <c r="E1678"/>
      <c r="F1678"/>
      <c r="G1678"/>
      <c r="H1678"/>
      <c r="I1678"/>
      <c r="J1678"/>
      <c r="K1678"/>
      <c r="L1678"/>
    </row>
    <row r="1679" spans="1:12">
      <c r="A1679"/>
      <c r="B1679"/>
      <c r="C1679"/>
      <c r="D1679"/>
      <c r="E1679"/>
      <c r="F1679"/>
      <c r="G1679"/>
      <c r="H1679"/>
      <c r="I1679"/>
      <c r="J1679"/>
      <c r="K1679"/>
      <c r="L1679"/>
    </row>
    <row r="1680" spans="1:12">
      <c r="A1680"/>
      <c r="B1680"/>
      <c r="C1680"/>
      <c r="D1680"/>
      <c r="E1680"/>
      <c r="F1680"/>
      <c r="G1680"/>
      <c r="H1680"/>
      <c r="I1680"/>
      <c r="J1680"/>
      <c r="K1680"/>
      <c r="L1680"/>
    </row>
    <row r="1681" spans="1:12">
      <c r="A1681"/>
      <c r="B1681"/>
      <c r="C1681"/>
      <c r="D1681"/>
      <c r="E1681"/>
      <c r="F1681"/>
      <c r="G1681"/>
      <c r="H1681"/>
      <c r="I1681"/>
      <c r="J1681"/>
      <c r="K1681"/>
      <c r="L1681"/>
    </row>
    <row r="1682" spans="1:12">
      <c r="A1682"/>
      <c r="B1682"/>
      <c r="C1682"/>
      <c r="D1682"/>
      <c r="E1682"/>
      <c r="F1682"/>
      <c r="G1682"/>
      <c r="H1682"/>
      <c r="I1682"/>
      <c r="J1682"/>
      <c r="K1682"/>
      <c r="L1682"/>
    </row>
    <row r="1683" spans="1:12">
      <c r="A1683"/>
      <c r="B1683"/>
      <c r="C1683"/>
      <c r="D1683"/>
      <c r="E1683"/>
      <c r="F1683"/>
      <c r="G1683"/>
      <c r="H1683"/>
      <c r="I1683"/>
      <c r="J1683"/>
      <c r="K1683"/>
      <c r="L1683"/>
    </row>
    <row r="1684" spans="1:12">
      <c r="A1684"/>
      <c r="B1684"/>
      <c r="C1684"/>
      <c r="D1684"/>
      <c r="E1684"/>
      <c r="F1684"/>
      <c r="G1684"/>
      <c r="H1684"/>
      <c r="I1684"/>
      <c r="J1684"/>
      <c r="K1684"/>
      <c r="L1684"/>
    </row>
    <row r="1685" spans="1:12">
      <c r="A1685"/>
      <c r="B1685"/>
      <c r="C1685"/>
      <c r="D1685"/>
      <c r="E1685"/>
      <c r="F1685"/>
      <c r="G1685"/>
      <c r="H1685"/>
      <c r="I1685"/>
      <c r="J1685"/>
      <c r="K1685"/>
      <c r="L1685"/>
    </row>
    <row r="1686" spans="1:12">
      <c r="A1686"/>
      <c r="B1686"/>
      <c r="C1686"/>
      <c r="D1686"/>
      <c r="E1686"/>
      <c r="F1686"/>
      <c r="G1686"/>
      <c r="H1686"/>
      <c r="I1686"/>
      <c r="J1686"/>
      <c r="K1686"/>
      <c r="L1686"/>
    </row>
    <row r="1687" spans="1:12">
      <c r="A1687"/>
      <c r="B1687"/>
      <c r="C1687"/>
      <c r="D1687"/>
      <c r="E1687"/>
      <c r="F1687"/>
      <c r="G1687"/>
      <c r="H1687"/>
      <c r="I1687"/>
      <c r="J1687"/>
      <c r="K1687"/>
      <c r="L1687"/>
    </row>
    <row r="1688" spans="1:12">
      <c r="A1688"/>
      <c r="B1688"/>
      <c r="C1688"/>
      <c r="D1688"/>
      <c r="E1688"/>
      <c r="F1688"/>
      <c r="G1688"/>
      <c r="H1688"/>
      <c r="I1688"/>
      <c r="J1688"/>
      <c r="K1688"/>
      <c r="L1688"/>
    </row>
    <row r="1689" spans="1:12">
      <c r="A1689"/>
      <c r="B1689"/>
      <c r="C1689"/>
      <c r="D1689"/>
      <c r="E1689"/>
      <c r="F1689"/>
      <c r="G1689"/>
      <c r="H1689"/>
      <c r="I1689"/>
      <c r="J1689"/>
      <c r="K1689"/>
      <c r="L1689"/>
    </row>
    <row r="1690" spans="1:12">
      <c r="A1690"/>
      <c r="B1690"/>
      <c r="C1690"/>
      <c r="D1690"/>
      <c r="E1690"/>
      <c r="F1690"/>
      <c r="G1690"/>
      <c r="H1690"/>
      <c r="I1690"/>
      <c r="J1690"/>
      <c r="K1690"/>
      <c r="L1690"/>
    </row>
    <row r="1691" spans="1:12">
      <c r="A1691"/>
      <c r="B1691"/>
      <c r="C1691"/>
      <c r="D1691"/>
      <c r="E1691"/>
      <c r="F1691"/>
      <c r="G1691"/>
      <c r="H1691"/>
      <c r="I1691"/>
      <c r="J1691"/>
      <c r="K1691"/>
      <c r="L1691"/>
    </row>
    <row r="1692" spans="1:12">
      <c r="A1692"/>
      <c r="B1692"/>
      <c r="C1692"/>
      <c r="D1692"/>
      <c r="E1692"/>
      <c r="F1692"/>
      <c r="G1692"/>
      <c r="H1692"/>
      <c r="I1692"/>
      <c r="J1692"/>
      <c r="K1692"/>
      <c r="L1692"/>
    </row>
    <row r="1693" spans="1:12">
      <c r="A1693"/>
      <c r="B1693"/>
      <c r="C1693"/>
      <c r="D1693"/>
      <c r="E1693"/>
      <c r="F1693"/>
      <c r="G1693"/>
      <c r="H1693"/>
      <c r="I1693"/>
      <c r="J1693"/>
      <c r="K1693"/>
      <c r="L1693"/>
    </row>
    <row r="1694" spans="1:12">
      <c r="A1694"/>
      <c r="B1694"/>
      <c r="C1694"/>
      <c r="D1694"/>
      <c r="E1694"/>
      <c r="F1694"/>
      <c r="G1694"/>
      <c r="H1694"/>
      <c r="I1694"/>
      <c r="J1694"/>
      <c r="K1694"/>
      <c r="L1694"/>
    </row>
    <row r="1695" spans="1:12">
      <c r="A1695"/>
      <c r="B1695"/>
      <c r="C1695"/>
      <c r="D1695"/>
      <c r="E1695"/>
      <c r="F1695"/>
      <c r="G1695"/>
      <c r="H1695"/>
      <c r="I1695"/>
      <c r="J1695"/>
      <c r="K1695"/>
      <c r="L1695"/>
    </row>
    <row r="1696" spans="1:12">
      <c r="A1696"/>
      <c r="B1696"/>
      <c r="C1696"/>
      <c r="D1696"/>
      <c r="E1696"/>
      <c r="F1696"/>
      <c r="G1696"/>
      <c r="H1696"/>
      <c r="I1696"/>
      <c r="J1696"/>
      <c r="K1696"/>
      <c r="L1696"/>
    </row>
    <row r="1697" spans="1:12">
      <c r="A1697"/>
      <c r="B1697"/>
      <c r="C1697"/>
      <c r="D1697"/>
      <c r="E1697"/>
      <c r="F1697"/>
      <c r="G1697"/>
      <c r="H1697"/>
      <c r="I1697"/>
      <c r="J1697"/>
      <c r="K1697"/>
      <c r="L1697"/>
    </row>
    <row r="1698" spans="1:12">
      <c r="A1698"/>
      <c r="B1698"/>
      <c r="C1698"/>
      <c r="D1698"/>
      <c r="E1698"/>
      <c r="F1698"/>
      <c r="G1698"/>
      <c r="H1698"/>
      <c r="I1698"/>
      <c r="J1698"/>
      <c r="K1698"/>
      <c r="L1698"/>
    </row>
    <row r="1699" spans="1:12">
      <c r="A1699"/>
      <c r="B1699"/>
      <c r="C1699"/>
      <c r="D1699"/>
      <c r="E1699"/>
      <c r="F1699"/>
      <c r="G1699"/>
      <c r="H1699"/>
      <c r="I1699"/>
      <c r="J1699"/>
      <c r="K1699"/>
      <c r="L1699"/>
    </row>
    <row r="1700" spans="1:12">
      <c r="A1700"/>
      <c r="B1700"/>
      <c r="C1700"/>
      <c r="D1700"/>
      <c r="E1700"/>
      <c r="F1700"/>
      <c r="G1700"/>
      <c r="H1700"/>
      <c r="I1700"/>
      <c r="J1700"/>
      <c r="K1700"/>
      <c r="L1700"/>
    </row>
    <row r="1701" spans="1:12">
      <c r="A1701"/>
      <c r="B1701"/>
      <c r="C1701"/>
      <c r="D1701"/>
      <c r="E1701"/>
      <c r="F1701"/>
      <c r="G1701"/>
      <c r="H1701"/>
      <c r="I1701"/>
      <c r="J1701"/>
      <c r="K1701"/>
      <c r="L1701"/>
    </row>
    <row r="1702" spans="1:12">
      <c r="A1702"/>
      <c r="B1702"/>
      <c r="C1702"/>
      <c r="D1702"/>
      <c r="E1702"/>
      <c r="F1702"/>
      <c r="G1702"/>
      <c r="H1702"/>
      <c r="I1702"/>
      <c r="J1702"/>
      <c r="K1702"/>
      <c r="L1702"/>
    </row>
    <row r="1703" spans="1:12">
      <c r="A1703"/>
      <c r="B1703"/>
      <c r="C1703"/>
      <c r="D1703"/>
      <c r="E1703"/>
      <c r="F1703"/>
      <c r="G1703"/>
      <c r="H1703"/>
      <c r="I1703"/>
      <c r="J1703"/>
      <c r="K1703"/>
      <c r="L1703"/>
    </row>
    <row r="1704" spans="1:12">
      <c r="A1704"/>
      <c r="B1704"/>
      <c r="C1704"/>
      <c r="D1704"/>
      <c r="E1704"/>
      <c r="F1704"/>
      <c r="G1704"/>
      <c r="H1704"/>
      <c r="I1704"/>
      <c r="J1704"/>
      <c r="K1704"/>
      <c r="L1704"/>
    </row>
    <row r="1705" spans="1:12">
      <c r="A1705"/>
      <c r="B1705"/>
      <c r="C1705"/>
      <c r="D1705"/>
      <c r="E1705"/>
      <c r="F1705"/>
      <c r="G1705"/>
      <c r="H1705"/>
      <c r="I1705"/>
      <c r="J1705"/>
      <c r="K1705"/>
      <c r="L1705"/>
    </row>
    <row r="1706" spans="1:12">
      <c r="A1706"/>
      <c r="B1706"/>
      <c r="C1706"/>
      <c r="D1706"/>
      <c r="E1706"/>
      <c r="F1706"/>
      <c r="G1706"/>
      <c r="H1706"/>
      <c r="I1706"/>
      <c r="J1706"/>
      <c r="K1706"/>
      <c r="L1706"/>
    </row>
    <row r="1707" spans="1:12">
      <c r="A1707"/>
      <c r="B1707"/>
      <c r="C1707"/>
      <c r="D1707"/>
      <c r="E1707"/>
      <c r="F1707"/>
      <c r="G1707"/>
      <c r="H1707"/>
      <c r="I1707"/>
      <c r="J1707"/>
      <c r="K1707"/>
      <c r="L1707"/>
    </row>
    <row r="1708" spans="1:12">
      <c r="A1708"/>
      <c r="B1708"/>
      <c r="C1708"/>
      <c r="D1708"/>
      <c r="E1708"/>
      <c r="F1708"/>
      <c r="G1708"/>
      <c r="H1708"/>
      <c r="I1708"/>
      <c r="J1708"/>
      <c r="K1708"/>
      <c r="L1708"/>
    </row>
    <row r="1709" spans="1:12">
      <c r="A1709"/>
      <c r="B1709"/>
      <c r="C1709"/>
      <c r="D1709"/>
      <c r="E1709"/>
      <c r="F1709"/>
      <c r="G1709"/>
      <c r="H1709"/>
      <c r="I1709"/>
      <c r="J1709"/>
      <c r="K1709"/>
      <c r="L1709"/>
    </row>
    <row r="1710" spans="1:12">
      <c r="A1710"/>
      <c r="B1710"/>
      <c r="C1710"/>
      <c r="D1710"/>
      <c r="E1710"/>
      <c r="F1710"/>
      <c r="G1710"/>
      <c r="H1710"/>
      <c r="I1710"/>
      <c r="J1710"/>
      <c r="K1710"/>
      <c r="L1710"/>
    </row>
    <row r="1711" spans="1:12">
      <c r="A1711"/>
      <c r="B1711"/>
      <c r="C1711"/>
      <c r="D1711"/>
      <c r="E1711"/>
      <c r="F1711"/>
      <c r="G1711"/>
      <c r="H1711"/>
      <c r="I1711"/>
      <c r="J1711"/>
      <c r="K1711"/>
      <c r="L1711"/>
    </row>
    <row r="1712" spans="1:12">
      <c r="A1712"/>
      <c r="B1712"/>
      <c r="C1712"/>
      <c r="D1712"/>
      <c r="E1712"/>
      <c r="F1712"/>
      <c r="G1712"/>
      <c r="H1712"/>
      <c r="I1712"/>
      <c r="J1712"/>
      <c r="K1712"/>
      <c r="L1712"/>
    </row>
    <row r="1713" spans="1:12">
      <c r="A1713"/>
      <c r="B1713"/>
      <c r="C1713"/>
      <c r="D1713"/>
      <c r="E1713"/>
      <c r="F1713"/>
      <c r="G1713"/>
      <c r="H1713"/>
      <c r="I1713"/>
      <c r="J1713"/>
      <c r="K1713"/>
      <c r="L1713"/>
    </row>
    <row r="1714" spans="1:12">
      <c r="A1714"/>
      <c r="B1714"/>
      <c r="C1714"/>
      <c r="D1714"/>
      <c r="E1714"/>
      <c r="F1714"/>
      <c r="G1714"/>
      <c r="H1714"/>
      <c r="I1714"/>
      <c r="J1714"/>
      <c r="K1714"/>
      <c r="L1714"/>
    </row>
    <row r="1715" spans="1:12">
      <c r="A1715"/>
      <c r="B1715"/>
      <c r="C1715"/>
      <c r="D1715"/>
      <c r="E1715"/>
      <c r="F1715"/>
      <c r="G1715"/>
      <c r="H1715"/>
      <c r="I1715"/>
      <c r="J1715"/>
      <c r="K1715"/>
      <c r="L1715"/>
    </row>
    <row r="1716" spans="1:12">
      <c r="A1716"/>
      <c r="B1716"/>
      <c r="C1716"/>
      <c r="D1716"/>
      <c r="E1716"/>
      <c r="F1716"/>
      <c r="G1716"/>
      <c r="H1716"/>
      <c r="I1716"/>
      <c r="J1716"/>
      <c r="K1716"/>
      <c r="L1716"/>
    </row>
    <row r="1717" spans="1:12">
      <c r="A1717"/>
      <c r="B1717"/>
      <c r="C1717"/>
      <c r="D1717"/>
      <c r="E1717"/>
      <c r="F1717"/>
      <c r="G1717"/>
      <c r="H1717"/>
      <c r="I1717"/>
      <c r="J1717"/>
      <c r="K1717"/>
      <c r="L1717"/>
    </row>
    <row r="1718" spans="1:12">
      <c r="A1718"/>
      <c r="B1718"/>
      <c r="C1718"/>
      <c r="D1718"/>
      <c r="E1718"/>
      <c r="F1718"/>
      <c r="G1718"/>
      <c r="H1718"/>
      <c r="I1718"/>
      <c r="J1718"/>
      <c r="K1718"/>
      <c r="L1718"/>
    </row>
    <row r="1719" spans="1:12">
      <c r="A1719"/>
      <c r="B1719"/>
      <c r="C1719"/>
      <c r="D1719"/>
      <c r="E1719"/>
      <c r="F1719"/>
      <c r="G1719"/>
      <c r="H1719"/>
      <c r="I1719"/>
      <c r="J1719"/>
      <c r="K1719"/>
      <c r="L1719"/>
    </row>
    <row r="1720" spans="1:12">
      <c r="A1720"/>
      <c r="B1720"/>
      <c r="C1720"/>
      <c r="D1720"/>
      <c r="E1720"/>
      <c r="F1720"/>
      <c r="G1720"/>
      <c r="H1720"/>
      <c r="I1720"/>
      <c r="J1720"/>
      <c r="K1720"/>
      <c r="L1720"/>
    </row>
    <row r="1721" spans="1:12">
      <c r="A1721"/>
      <c r="B1721"/>
      <c r="C1721"/>
      <c r="D1721"/>
      <c r="E1721"/>
      <c r="F1721"/>
      <c r="G1721"/>
      <c r="H1721"/>
      <c r="I1721"/>
      <c r="J1721"/>
      <c r="K1721"/>
      <c r="L1721"/>
    </row>
    <row r="1722" spans="1:12">
      <c r="A1722"/>
      <c r="B1722"/>
      <c r="C1722"/>
      <c r="D1722"/>
      <c r="E1722"/>
      <c r="F1722"/>
      <c r="G1722"/>
      <c r="H1722"/>
      <c r="I1722"/>
      <c r="J1722"/>
      <c r="K1722"/>
      <c r="L1722"/>
    </row>
    <row r="1723" spans="1:12">
      <c r="A1723"/>
      <c r="B1723"/>
      <c r="C1723"/>
      <c r="D1723"/>
      <c r="E1723"/>
      <c r="F1723"/>
      <c r="G1723"/>
      <c r="H1723"/>
      <c r="I1723"/>
      <c r="J1723"/>
      <c r="K1723"/>
      <c r="L1723"/>
    </row>
    <row r="1724" spans="1:12">
      <c r="A1724"/>
      <c r="B1724"/>
      <c r="C1724"/>
      <c r="D1724"/>
      <c r="E1724"/>
      <c r="F1724"/>
      <c r="G1724"/>
      <c r="H1724"/>
      <c r="I1724"/>
      <c r="J1724"/>
      <c r="K1724"/>
      <c r="L1724"/>
    </row>
    <row r="1725" spans="1:12">
      <c r="A1725"/>
      <c r="B1725"/>
      <c r="C1725"/>
      <c r="D1725"/>
      <c r="E1725"/>
      <c r="F1725"/>
      <c r="G1725"/>
      <c r="H1725"/>
      <c r="I1725"/>
      <c r="J1725"/>
      <c r="K1725"/>
      <c r="L1725"/>
    </row>
    <row r="1726" spans="1:12">
      <c r="A1726"/>
      <c r="B1726"/>
      <c r="C1726"/>
      <c r="D1726"/>
      <c r="E1726"/>
      <c r="F1726"/>
      <c r="G1726"/>
      <c r="H1726"/>
      <c r="I1726"/>
      <c r="J1726"/>
      <c r="K1726"/>
      <c r="L1726"/>
    </row>
    <row r="1727" spans="1:12">
      <c r="A1727"/>
      <c r="B1727"/>
      <c r="C1727"/>
      <c r="D1727"/>
      <c r="E1727"/>
      <c r="F1727"/>
      <c r="G1727"/>
      <c r="H1727"/>
      <c r="I1727"/>
      <c r="J1727"/>
      <c r="K1727"/>
      <c r="L1727"/>
    </row>
    <row r="1728" spans="1:12">
      <c r="A1728"/>
      <c r="B1728"/>
      <c r="C1728"/>
      <c r="D1728"/>
      <c r="E1728"/>
      <c r="F1728"/>
      <c r="G1728"/>
      <c r="H1728"/>
      <c r="I1728"/>
      <c r="J1728"/>
      <c r="K1728"/>
      <c r="L1728"/>
    </row>
    <row r="1729" spans="1:12">
      <c r="A1729"/>
      <c r="B1729"/>
      <c r="C1729"/>
      <c r="D1729"/>
      <c r="E1729"/>
      <c r="F1729"/>
      <c r="G1729"/>
      <c r="H1729"/>
      <c r="I1729"/>
      <c r="J1729"/>
      <c r="K1729"/>
      <c r="L1729"/>
    </row>
    <row r="1730" spans="1:12">
      <c r="A1730"/>
      <c r="B1730"/>
      <c r="C1730"/>
      <c r="D1730"/>
      <c r="E1730"/>
      <c r="F1730"/>
      <c r="G1730"/>
      <c r="H1730"/>
      <c r="I1730"/>
      <c r="J1730"/>
      <c r="K1730"/>
      <c r="L1730"/>
    </row>
    <row r="1731" spans="1:12">
      <c r="A1731"/>
      <c r="B1731"/>
      <c r="C1731"/>
      <c r="D1731"/>
      <c r="E1731"/>
      <c r="F1731"/>
      <c r="G1731"/>
      <c r="H1731"/>
      <c r="I1731"/>
      <c r="J1731"/>
      <c r="K1731"/>
      <c r="L1731"/>
    </row>
    <row r="1732" spans="1:12">
      <c r="A1732"/>
      <c r="B1732"/>
      <c r="C1732"/>
      <c r="D1732"/>
      <c r="E1732"/>
      <c r="F1732"/>
      <c r="G1732"/>
      <c r="H1732"/>
      <c r="I1732"/>
      <c r="J1732"/>
      <c r="K1732"/>
      <c r="L1732"/>
    </row>
    <row r="1733" spans="1:12">
      <c r="A1733"/>
      <c r="B1733"/>
      <c r="C1733"/>
      <c r="D1733"/>
      <c r="E1733"/>
      <c r="F1733"/>
      <c r="G1733"/>
      <c r="H1733"/>
      <c r="I1733"/>
      <c r="J1733"/>
      <c r="K1733"/>
      <c r="L1733"/>
    </row>
    <row r="1734" spans="1:12">
      <c r="A1734"/>
      <c r="B1734"/>
      <c r="C1734"/>
      <c r="D1734"/>
      <c r="E1734"/>
      <c r="F1734"/>
      <c r="G1734"/>
      <c r="H1734"/>
      <c r="I1734"/>
      <c r="J1734"/>
      <c r="K1734"/>
      <c r="L1734"/>
    </row>
    <row r="1735" spans="1:12">
      <c r="A1735"/>
      <c r="B1735"/>
      <c r="C1735"/>
      <c r="D1735"/>
      <c r="E1735"/>
      <c r="F1735"/>
      <c r="G1735"/>
      <c r="H1735"/>
      <c r="I1735"/>
      <c r="J1735"/>
      <c r="K1735"/>
      <c r="L1735"/>
    </row>
    <row r="1736" spans="1:12">
      <c r="A1736"/>
      <c r="B1736"/>
      <c r="C1736"/>
      <c r="D1736"/>
      <c r="E1736"/>
      <c r="F1736"/>
      <c r="G1736"/>
      <c r="H1736"/>
      <c r="I1736"/>
      <c r="J1736"/>
      <c r="K1736"/>
      <c r="L1736"/>
    </row>
    <row r="1737" spans="1:12">
      <c r="A1737"/>
      <c r="B1737"/>
      <c r="C1737"/>
      <c r="D1737"/>
      <c r="E1737"/>
      <c r="F1737"/>
      <c r="G1737"/>
      <c r="H1737"/>
      <c r="I1737"/>
      <c r="J1737"/>
      <c r="K1737"/>
      <c r="L1737"/>
    </row>
    <row r="1738" spans="1:12">
      <c r="A1738"/>
      <c r="B1738"/>
      <c r="C1738"/>
      <c r="D1738"/>
      <c r="E1738"/>
      <c r="F1738"/>
      <c r="G1738"/>
      <c r="H1738"/>
      <c r="I1738"/>
      <c r="J1738"/>
      <c r="K1738"/>
      <c r="L1738"/>
    </row>
    <row r="1739" spans="1:12">
      <c r="A1739"/>
      <c r="B1739"/>
      <c r="C1739"/>
      <c r="D1739"/>
      <c r="E1739"/>
      <c r="F1739"/>
      <c r="G1739"/>
      <c r="H1739"/>
      <c r="I1739"/>
      <c r="J1739"/>
      <c r="K1739"/>
      <c r="L1739"/>
    </row>
    <row r="1740" spans="1:12">
      <c r="A1740"/>
      <c r="B1740"/>
      <c r="C1740"/>
      <c r="D1740"/>
      <c r="E1740"/>
      <c r="F1740"/>
      <c r="G1740"/>
      <c r="H1740"/>
      <c r="I1740"/>
      <c r="J1740"/>
      <c r="K1740"/>
      <c r="L1740"/>
    </row>
    <row r="1741" spans="1:12">
      <c r="A1741"/>
      <c r="B1741"/>
      <c r="C1741"/>
      <c r="D1741"/>
      <c r="E1741"/>
      <c r="F1741"/>
      <c r="G1741"/>
      <c r="H1741"/>
      <c r="I1741"/>
      <c r="J1741"/>
      <c r="K1741"/>
      <c r="L1741"/>
    </row>
    <row r="1742" spans="1:12">
      <c r="A1742"/>
      <c r="B1742"/>
      <c r="C1742"/>
      <c r="D1742"/>
      <c r="E1742"/>
      <c r="F1742"/>
      <c r="G1742"/>
      <c r="H1742"/>
      <c r="I1742"/>
      <c r="J1742"/>
      <c r="K1742"/>
      <c r="L1742"/>
    </row>
    <row r="1743" spans="1:12">
      <c r="A1743"/>
      <c r="B1743"/>
      <c r="C1743"/>
      <c r="D1743"/>
      <c r="E1743"/>
      <c r="F1743"/>
      <c r="G1743"/>
      <c r="H1743"/>
      <c r="I1743"/>
      <c r="J1743"/>
      <c r="K1743"/>
      <c r="L1743"/>
    </row>
    <row r="1744" spans="1:12">
      <c r="A1744"/>
      <c r="B1744"/>
      <c r="C1744"/>
      <c r="D1744"/>
      <c r="E1744"/>
      <c r="F1744"/>
      <c r="G1744"/>
      <c r="H1744"/>
      <c r="I1744"/>
      <c r="J1744"/>
      <c r="K1744"/>
      <c r="L1744"/>
    </row>
    <row r="1745" spans="1:12">
      <c r="A1745"/>
      <c r="B1745"/>
      <c r="C1745"/>
      <c r="D1745"/>
      <c r="E1745"/>
      <c r="F1745"/>
      <c r="G1745"/>
      <c r="H1745"/>
      <c r="I1745"/>
      <c r="J1745"/>
      <c r="K1745"/>
      <c r="L1745"/>
    </row>
    <row r="1746" spans="1:12">
      <c r="A1746"/>
      <c r="B1746"/>
      <c r="C1746"/>
      <c r="D1746"/>
      <c r="E1746"/>
      <c r="F1746"/>
      <c r="G1746"/>
      <c r="H1746"/>
      <c r="I1746"/>
      <c r="J1746"/>
      <c r="K1746"/>
      <c r="L1746"/>
    </row>
    <row r="1747" spans="1:12">
      <c r="A1747"/>
      <c r="B1747"/>
      <c r="C1747"/>
      <c r="D1747"/>
      <c r="E1747"/>
      <c r="F1747"/>
      <c r="G1747"/>
      <c r="H1747"/>
      <c r="I1747"/>
      <c r="J1747"/>
      <c r="K1747"/>
      <c r="L1747"/>
    </row>
    <row r="1748" spans="1:12">
      <c r="A1748"/>
      <c r="B1748"/>
      <c r="C1748"/>
      <c r="D1748"/>
      <c r="E1748"/>
      <c r="F1748"/>
      <c r="G1748"/>
      <c r="H1748"/>
      <c r="I1748"/>
      <c r="J1748"/>
      <c r="K1748"/>
      <c r="L1748"/>
    </row>
    <row r="1749" spans="1:12">
      <c r="A1749"/>
      <c r="B1749"/>
      <c r="C1749"/>
      <c r="D1749"/>
      <c r="E1749"/>
      <c r="F1749"/>
      <c r="G1749"/>
      <c r="H1749"/>
      <c r="I1749"/>
      <c r="J1749"/>
      <c r="K1749"/>
      <c r="L1749"/>
    </row>
    <row r="1750" spans="1:12">
      <c r="A1750"/>
      <c r="B1750"/>
      <c r="C1750"/>
      <c r="D1750"/>
      <c r="E1750"/>
      <c r="F1750"/>
      <c r="G1750"/>
      <c r="H1750"/>
      <c r="I1750"/>
      <c r="J1750"/>
      <c r="K1750"/>
      <c r="L1750"/>
    </row>
    <row r="1751" spans="1:12">
      <c r="A1751"/>
      <c r="B1751"/>
      <c r="C1751"/>
      <c r="D1751"/>
      <c r="E1751"/>
      <c r="F1751"/>
      <c r="G1751"/>
      <c r="H1751"/>
      <c r="I1751"/>
      <c r="J1751"/>
      <c r="K1751"/>
      <c r="L1751"/>
    </row>
    <row r="1752" spans="1:12">
      <c r="A1752"/>
      <c r="B1752"/>
      <c r="C1752"/>
      <c r="D1752"/>
      <c r="E1752"/>
      <c r="F1752"/>
      <c r="G1752"/>
      <c r="H1752"/>
      <c r="I1752"/>
      <c r="J1752"/>
      <c r="K1752"/>
      <c r="L1752"/>
    </row>
    <row r="1753" spans="1:12">
      <c r="A1753"/>
      <c r="B1753"/>
      <c r="C1753"/>
      <c r="D1753"/>
      <c r="E1753"/>
      <c r="F1753"/>
      <c r="G1753"/>
      <c r="H1753"/>
      <c r="I1753"/>
      <c r="J1753"/>
      <c r="K1753"/>
      <c r="L1753"/>
    </row>
    <row r="1754" spans="1:12">
      <c r="A1754"/>
      <c r="B1754"/>
      <c r="C1754"/>
      <c r="D1754"/>
      <c r="E1754"/>
      <c r="F1754"/>
      <c r="G1754"/>
      <c r="H1754"/>
      <c r="I1754"/>
      <c r="J1754"/>
      <c r="K1754"/>
      <c r="L1754"/>
    </row>
    <row r="1755" spans="1:12">
      <c r="A1755"/>
      <c r="B1755"/>
      <c r="C1755"/>
      <c r="D1755"/>
      <c r="E1755"/>
      <c r="F1755"/>
      <c r="G1755"/>
      <c r="H1755"/>
      <c r="I1755"/>
      <c r="J1755"/>
      <c r="K1755"/>
      <c r="L1755"/>
    </row>
    <row r="1756" spans="1:12">
      <c r="A1756"/>
      <c r="B1756"/>
      <c r="C1756"/>
      <c r="D1756"/>
      <c r="E1756"/>
      <c r="F1756"/>
      <c r="G1756"/>
      <c r="H1756"/>
      <c r="I1756"/>
      <c r="J1756"/>
      <c r="K1756"/>
      <c r="L1756"/>
    </row>
    <row r="1757" spans="1:12">
      <c r="A1757"/>
      <c r="B1757"/>
      <c r="C1757"/>
      <c r="D1757"/>
      <c r="E1757"/>
      <c r="F1757"/>
      <c r="G1757"/>
      <c r="H1757"/>
      <c r="I1757"/>
      <c r="J1757"/>
      <c r="K1757"/>
      <c r="L1757"/>
    </row>
    <row r="1758" spans="1:12">
      <c r="A1758"/>
      <c r="B1758"/>
      <c r="C1758"/>
      <c r="D1758"/>
      <c r="E1758"/>
      <c r="F1758"/>
      <c r="G1758"/>
      <c r="H1758"/>
      <c r="I1758"/>
      <c r="J1758"/>
      <c r="K1758"/>
      <c r="L1758"/>
    </row>
    <row r="1759" spans="1:12">
      <c r="A1759"/>
      <c r="B1759"/>
      <c r="C1759"/>
      <c r="D1759"/>
      <c r="E1759"/>
      <c r="F1759"/>
      <c r="G1759"/>
      <c r="H1759"/>
      <c r="I1759"/>
      <c r="J1759"/>
      <c r="K1759"/>
      <c r="L1759"/>
    </row>
    <row r="1760" spans="1:12">
      <c r="A1760"/>
      <c r="B1760"/>
      <c r="C1760"/>
      <c r="D1760"/>
      <c r="E1760"/>
      <c r="F1760"/>
      <c r="G1760"/>
      <c r="H1760"/>
      <c r="I1760"/>
      <c r="J1760"/>
      <c r="K1760"/>
      <c r="L1760"/>
    </row>
    <row r="1761" spans="1:12">
      <c r="A1761"/>
      <c r="B1761"/>
      <c r="C1761"/>
      <c r="D1761"/>
      <c r="E1761"/>
      <c r="F1761"/>
      <c r="G1761"/>
      <c r="H1761"/>
      <c r="I1761"/>
      <c r="J1761"/>
      <c r="K1761"/>
      <c r="L1761"/>
    </row>
    <row r="1762" spans="1:12">
      <c r="A1762"/>
      <c r="B1762"/>
      <c r="C1762"/>
      <c r="D1762"/>
      <c r="E1762"/>
      <c r="F1762"/>
      <c r="G1762"/>
      <c r="H1762"/>
      <c r="I1762"/>
      <c r="J1762"/>
      <c r="K1762"/>
      <c r="L1762"/>
    </row>
    <row r="1763" spans="1:12">
      <c r="A1763"/>
      <c r="B1763"/>
      <c r="C1763"/>
      <c r="D1763"/>
      <c r="E1763"/>
      <c r="F1763"/>
      <c r="G1763"/>
      <c r="H1763"/>
      <c r="I1763"/>
      <c r="J1763"/>
      <c r="K1763"/>
      <c r="L1763"/>
    </row>
    <row r="1764" spans="1:12">
      <c r="A1764"/>
      <c r="B1764"/>
      <c r="C1764"/>
      <c r="D1764"/>
      <c r="E1764"/>
      <c r="F1764"/>
      <c r="G1764"/>
      <c r="H1764"/>
      <c r="I1764"/>
      <c r="J1764"/>
      <c r="K1764"/>
      <c r="L1764"/>
    </row>
    <row r="1765" spans="1:12">
      <c r="A1765"/>
      <c r="B1765"/>
      <c r="C1765"/>
      <c r="D1765"/>
      <c r="E1765"/>
      <c r="F1765"/>
      <c r="G1765"/>
      <c r="H1765"/>
      <c r="I1765"/>
      <c r="J1765"/>
      <c r="K1765"/>
      <c r="L1765"/>
    </row>
    <row r="1766" spans="1:12">
      <c r="A1766"/>
      <c r="B1766"/>
      <c r="C1766"/>
      <c r="D1766"/>
      <c r="E1766"/>
      <c r="F1766"/>
      <c r="G1766"/>
      <c r="H1766"/>
      <c r="I1766"/>
      <c r="J1766"/>
      <c r="K1766"/>
      <c r="L1766"/>
    </row>
    <row r="1767" spans="1:12">
      <c r="A1767"/>
      <c r="B1767"/>
      <c r="C1767"/>
      <c r="D1767"/>
      <c r="E1767"/>
      <c r="F1767"/>
      <c r="G1767"/>
      <c r="H1767"/>
      <c r="I1767"/>
      <c r="J1767"/>
      <c r="K1767"/>
      <c r="L1767"/>
    </row>
    <row r="1768" spans="1:12">
      <c r="A1768"/>
      <c r="B1768"/>
      <c r="C1768"/>
      <c r="D1768"/>
      <c r="E1768"/>
      <c r="F1768"/>
      <c r="G1768"/>
      <c r="H1768"/>
      <c r="I1768"/>
      <c r="J1768"/>
      <c r="K1768"/>
      <c r="L1768"/>
    </row>
    <row r="1769" spans="1:12">
      <c r="A1769"/>
      <c r="B1769"/>
      <c r="C1769"/>
      <c r="D1769"/>
      <c r="E1769"/>
      <c r="F1769"/>
      <c r="G1769"/>
      <c r="H1769"/>
      <c r="I1769"/>
      <c r="J1769"/>
      <c r="K1769"/>
      <c r="L1769"/>
    </row>
    <row r="1770" spans="1:12">
      <c r="A1770"/>
      <c r="B1770"/>
      <c r="C1770"/>
      <c r="D1770"/>
      <c r="E1770"/>
      <c r="F1770"/>
      <c r="G1770"/>
      <c r="H1770"/>
      <c r="I1770"/>
      <c r="J1770"/>
      <c r="K1770"/>
      <c r="L1770"/>
    </row>
    <row r="1771" spans="1:12">
      <c r="A1771"/>
      <c r="B1771"/>
      <c r="C1771"/>
      <c r="D1771"/>
      <c r="E1771"/>
      <c r="F1771"/>
      <c r="G1771"/>
      <c r="H1771"/>
      <c r="I1771"/>
      <c r="J1771"/>
      <c r="K1771"/>
      <c r="L1771"/>
    </row>
    <row r="1772" spans="1:12">
      <c r="A1772"/>
      <c r="B1772"/>
      <c r="C1772"/>
      <c r="D1772"/>
      <c r="E1772"/>
      <c r="F1772"/>
      <c r="G1772"/>
      <c r="H1772"/>
      <c r="I1772"/>
      <c r="J1772"/>
      <c r="K1772"/>
      <c r="L1772"/>
    </row>
    <row r="1773" spans="1:12">
      <c r="A1773"/>
      <c r="B1773"/>
      <c r="C1773"/>
      <c r="D1773"/>
      <c r="E1773"/>
      <c r="F1773"/>
      <c r="G1773"/>
      <c r="H1773"/>
      <c r="I1773"/>
      <c r="J1773"/>
      <c r="K1773"/>
      <c r="L1773"/>
    </row>
    <row r="1774" spans="1:12">
      <c r="A1774"/>
      <c r="B1774"/>
      <c r="C1774"/>
      <c r="D1774"/>
      <c r="E1774"/>
      <c r="F1774"/>
      <c r="G1774"/>
      <c r="H1774"/>
      <c r="I1774"/>
      <c r="J1774"/>
      <c r="K1774"/>
      <c r="L1774"/>
    </row>
    <row r="1775" spans="1:12">
      <c r="A1775"/>
      <c r="B1775"/>
      <c r="C1775"/>
      <c r="D1775"/>
      <c r="E1775"/>
      <c r="F1775"/>
      <c r="G1775"/>
      <c r="H1775"/>
      <c r="I1775"/>
      <c r="J1775"/>
      <c r="K1775"/>
      <c r="L1775"/>
    </row>
    <row r="1776" spans="1:12">
      <c r="A1776"/>
      <c r="B1776"/>
      <c r="C1776"/>
      <c r="D1776"/>
      <c r="E1776"/>
      <c r="F1776"/>
      <c r="G1776"/>
      <c r="H1776"/>
      <c r="I1776"/>
      <c r="J1776"/>
      <c r="K1776"/>
      <c r="L1776"/>
    </row>
    <row r="1777" spans="1:12">
      <c r="A1777"/>
      <c r="B1777"/>
      <c r="C1777"/>
      <c r="D1777"/>
      <c r="E1777"/>
      <c r="F1777"/>
      <c r="G1777"/>
      <c r="H1777"/>
      <c r="I1777"/>
      <c r="J1777"/>
      <c r="K1777"/>
      <c r="L1777"/>
    </row>
    <row r="1778" spans="1:12">
      <c r="A1778"/>
      <c r="B1778"/>
      <c r="C1778"/>
      <c r="D1778"/>
      <c r="E1778"/>
      <c r="F1778"/>
      <c r="G1778"/>
      <c r="H1778"/>
      <c r="I1778"/>
      <c r="J1778"/>
      <c r="K1778"/>
      <c r="L1778"/>
    </row>
    <row r="1779" spans="1:12">
      <c r="A1779"/>
      <c r="B1779"/>
      <c r="C1779"/>
      <c r="D1779"/>
      <c r="E1779"/>
      <c r="F1779"/>
      <c r="G1779"/>
      <c r="H1779"/>
      <c r="I1779"/>
      <c r="J1779"/>
      <c r="K1779"/>
      <c r="L1779"/>
    </row>
    <row r="1780" spans="1:12">
      <c r="A1780"/>
      <c r="B1780"/>
      <c r="C1780"/>
      <c r="D1780"/>
      <c r="E1780"/>
      <c r="F1780"/>
      <c r="G1780"/>
      <c r="H1780"/>
      <c r="I1780"/>
      <c r="J1780"/>
      <c r="K1780"/>
      <c r="L1780"/>
    </row>
    <row r="1781" spans="1:12">
      <c r="A1781"/>
      <c r="B1781"/>
      <c r="C1781"/>
      <c r="D1781"/>
      <c r="E1781"/>
      <c r="F1781"/>
      <c r="G1781"/>
      <c r="H1781"/>
      <c r="I1781"/>
      <c r="J1781"/>
      <c r="K1781"/>
      <c r="L1781"/>
    </row>
    <row r="1782" spans="1:12">
      <c r="A1782"/>
      <c r="B1782"/>
      <c r="C1782"/>
      <c r="D1782"/>
      <c r="E1782"/>
      <c r="F1782"/>
      <c r="G1782"/>
      <c r="H1782"/>
      <c r="I1782"/>
      <c r="J1782"/>
      <c r="K1782"/>
      <c r="L1782"/>
    </row>
    <row r="1783" spans="1:12">
      <c r="A1783"/>
      <c r="B1783"/>
      <c r="C1783"/>
      <c r="D1783"/>
      <c r="E1783"/>
      <c r="F1783"/>
      <c r="G1783"/>
      <c r="H1783"/>
      <c r="I1783"/>
      <c r="J1783"/>
      <c r="K1783"/>
      <c r="L1783"/>
    </row>
    <row r="1784" spans="1:12">
      <c r="A1784"/>
      <c r="B1784"/>
      <c r="C1784"/>
      <c r="D1784"/>
      <c r="E1784"/>
      <c r="F1784"/>
      <c r="G1784"/>
      <c r="H1784"/>
      <c r="I1784"/>
      <c r="J1784"/>
      <c r="K1784"/>
      <c r="L1784"/>
    </row>
    <row r="1785" spans="1:12">
      <c r="A1785"/>
      <c r="B1785"/>
      <c r="C1785"/>
      <c r="D1785"/>
      <c r="E1785"/>
      <c r="F1785"/>
      <c r="G1785"/>
      <c r="H1785"/>
      <c r="I1785"/>
      <c r="J1785"/>
      <c r="K1785"/>
      <c r="L1785"/>
    </row>
    <row r="1786" spans="1:12">
      <c r="A1786"/>
      <c r="B1786"/>
      <c r="C1786"/>
      <c r="D1786"/>
      <c r="E1786"/>
      <c r="F1786"/>
      <c r="G1786"/>
      <c r="H1786"/>
      <c r="I1786"/>
      <c r="J1786"/>
      <c r="K1786"/>
      <c r="L1786"/>
    </row>
    <row r="1787" spans="1:12">
      <c r="A1787"/>
      <c r="B1787"/>
      <c r="C1787"/>
      <c r="D1787"/>
      <c r="E1787"/>
      <c r="F1787"/>
      <c r="G1787"/>
      <c r="H1787"/>
      <c r="I1787"/>
      <c r="J1787"/>
      <c r="K1787"/>
      <c r="L1787"/>
    </row>
    <row r="1788" spans="1:12">
      <c r="A1788"/>
      <c r="B1788"/>
      <c r="C1788"/>
      <c r="D1788"/>
      <c r="E1788"/>
      <c r="F1788"/>
      <c r="G1788"/>
      <c r="H1788"/>
      <c r="I1788"/>
      <c r="J1788"/>
      <c r="K1788"/>
      <c r="L1788"/>
    </row>
    <row r="1789" spans="1:12">
      <c r="A1789"/>
      <c r="B1789"/>
      <c r="C1789"/>
      <c r="D1789"/>
      <c r="E1789"/>
      <c r="F1789"/>
      <c r="G1789"/>
      <c r="H1789"/>
      <c r="I1789"/>
      <c r="J1789"/>
      <c r="K1789"/>
      <c r="L1789"/>
    </row>
    <row r="1790" spans="1:12">
      <c r="A1790"/>
      <c r="B1790"/>
      <c r="C1790"/>
      <c r="D1790"/>
      <c r="E1790"/>
      <c r="F1790"/>
      <c r="G1790"/>
      <c r="H1790"/>
      <c r="I1790"/>
      <c r="J1790"/>
      <c r="K1790"/>
      <c r="L1790"/>
    </row>
    <row r="1791" spans="1:12">
      <c r="A1791"/>
      <c r="B1791"/>
      <c r="C1791"/>
      <c r="D1791"/>
      <c r="E1791"/>
      <c r="F1791"/>
      <c r="G1791"/>
      <c r="H1791"/>
      <c r="I1791"/>
      <c r="J1791"/>
      <c r="K1791"/>
      <c r="L1791"/>
    </row>
    <row r="1792" spans="1:12">
      <c r="A1792"/>
      <c r="B1792"/>
      <c r="C1792"/>
      <c r="D1792"/>
      <c r="E1792"/>
      <c r="F1792"/>
      <c r="G1792"/>
      <c r="H1792"/>
      <c r="I1792"/>
      <c r="J1792"/>
      <c r="K1792"/>
      <c r="L1792"/>
    </row>
    <row r="1793" spans="1:12">
      <c r="A1793"/>
      <c r="B1793"/>
      <c r="C1793"/>
      <c r="D1793"/>
      <c r="E1793"/>
      <c r="F1793"/>
      <c r="G1793"/>
      <c r="H1793"/>
      <c r="I1793"/>
      <c r="J1793"/>
      <c r="K1793"/>
      <c r="L1793"/>
    </row>
    <row r="1794" spans="1:12">
      <c r="A1794"/>
      <c r="B1794"/>
      <c r="C1794"/>
      <c r="D1794"/>
      <c r="E1794"/>
      <c r="F1794"/>
      <c r="G1794"/>
      <c r="H1794"/>
      <c r="I1794"/>
      <c r="J1794"/>
      <c r="K1794"/>
      <c r="L1794"/>
    </row>
    <row r="1795" spans="1:12">
      <c r="A1795"/>
      <c r="B1795"/>
      <c r="C1795"/>
      <c r="D1795"/>
      <c r="E1795"/>
      <c r="F1795"/>
      <c r="G1795"/>
      <c r="H1795"/>
      <c r="I1795"/>
      <c r="J1795"/>
      <c r="K1795"/>
      <c r="L1795"/>
    </row>
    <row r="1796" spans="1:12">
      <c r="A1796"/>
      <c r="B1796"/>
      <c r="C1796"/>
      <c r="D1796"/>
      <c r="E1796"/>
      <c r="F1796"/>
      <c r="G1796"/>
      <c r="H1796"/>
      <c r="I1796"/>
      <c r="J1796"/>
      <c r="K1796"/>
      <c r="L1796"/>
    </row>
    <row r="1797" spans="1:12">
      <c r="A1797"/>
      <c r="B1797"/>
      <c r="C1797"/>
      <c r="D1797"/>
      <c r="E1797"/>
      <c r="F1797"/>
      <c r="G1797"/>
      <c r="H1797"/>
      <c r="I1797"/>
      <c r="J1797"/>
      <c r="K1797"/>
      <c r="L1797"/>
    </row>
    <row r="1798" spans="1:12">
      <c r="A1798"/>
      <c r="B1798"/>
      <c r="C1798"/>
      <c r="D1798"/>
      <c r="E1798"/>
      <c r="F1798"/>
      <c r="G1798"/>
      <c r="H1798"/>
      <c r="I1798"/>
      <c r="J1798"/>
      <c r="K1798"/>
      <c r="L1798"/>
    </row>
    <row r="1799" spans="1:12">
      <c r="A1799"/>
      <c r="B1799"/>
      <c r="C1799"/>
      <c r="D1799"/>
      <c r="E1799"/>
      <c r="F1799"/>
      <c r="G1799"/>
      <c r="H1799"/>
      <c r="I1799"/>
      <c r="J1799"/>
      <c r="K1799"/>
      <c r="L1799"/>
    </row>
    <row r="1800" spans="1:12">
      <c r="A1800"/>
      <c r="B1800"/>
      <c r="C1800"/>
      <c r="D1800"/>
      <c r="E1800"/>
      <c r="F1800"/>
      <c r="G1800"/>
      <c r="H1800"/>
      <c r="I1800"/>
      <c r="J1800"/>
      <c r="K1800"/>
      <c r="L1800"/>
    </row>
    <row r="1801" spans="1:12">
      <c r="A1801"/>
      <c r="B1801"/>
      <c r="C1801"/>
      <c r="D1801"/>
      <c r="E1801"/>
      <c r="F1801"/>
      <c r="G1801"/>
      <c r="H1801"/>
      <c r="I1801"/>
      <c r="J1801"/>
      <c r="K1801"/>
      <c r="L1801"/>
    </row>
    <row r="1802" spans="1:12">
      <c r="A1802"/>
      <c r="B1802"/>
      <c r="C1802"/>
      <c r="D1802"/>
      <c r="E1802"/>
      <c r="F1802"/>
      <c r="G1802"/>
      <c r="H1802"/>
      <c r="I1802"/>
      <c r="J1802"/>
      <c r="K1802"/>
      <c r="L1802"/>
    </row>
    <row r="1803" spans="1:12">
      <c r="A1803"/>
      <c r="B1803"/>
      <c r="C1803"/>
      <c r="D1803"/>
      <c r="E1803"/>
      <c r="F1803"/>
      <c r="G1803"/>
      <c r="H1803"/>
      <c r="I1803"/>
      <c r="J1803"/>
      <c r="K1803"/>
      <c r="L1803"/>
    </row>
    <row r="1804" spans="1:12">
      <c r="A1804"/>
      <c r="B1804"/>
      <c r="C1804"/>
      <c r="D1804"/>
      <c r="E1804"/>
      <c r="F1804"/>
      <c r="G1804"/>
      <c r="H1804"/>
      <c r="I1804"/>
      <c r="J1804"/>
      <c r="K1804"/>
      <c r="L1804"/>
    </row>
    <row r="1805" spans="1:12">
      <c r="A1805"/>
      <c r="B1805"/>
      <c r="C1805"/>
      <c r="D1805"/>
      <c r="E1805"/>
      <c r="F1805"/>
      <c r="G1805"/>
      <c r="H1805"/>
      <c r="I1805"/>
      <c r="J1805"/>
      <c r="K1805"/>
      <c r="L1805"/>
    </row>
    <row r="1806" spans="1:12">
      <c r="A1806"/>
      <c r="B1806"/>
      <c r="C1806"/>
      <c r="D1806"/>
      <c r="E1806"/>
      <c r="F1806"/>
      <c r="G1806"/>
      <c r="H1806"/>
      <c r="I1806"/>
      <c r="J1806"/>
      <c r="K1806"/>
      <c r="L1806"/>
    </row>
    <row r="1807" spans="1:12">
      <c r="A1807"/>
      <c r="B1807"/>
      <c r="C1807"/>
      <c r="D1807"/>
      <c r="E1807"/>
      <c r="F1807"/>
      <c r="G1807"/>
      <c r="H1807"/>
      <c r="I1807"/>
      <c r="J1807"/>
      <c r="K1807"/>
      <c r="L1807"/>
    </row>
    <row r="1808" spans="1:12">
      <c r="A1808"/>
      <c r="B1808"/>
      <c r="C1808"/>
      <c r="D1808"/>
      <c r="E1808"/>
      <c r="F1808"/>
      <c r="G1808"/>
      <c r="H1808"/>
      <c r="I1808"/>
      <c r="J1808"/>
      <c r="K1808"/>
      <c r="L1808"/>
    </row>
    <row r="1809" spans="1:12">
      <c r="A1809"/>
      <c r="B1809"/>
      <c r="C1809"/>
      <c r="D1809"/>
      <c r="E1809"/>
      <c r="F1809"/>
      <c r="G1809"/>
      <c r="H1809"/>
      <c r="I1809"/>
      <c r="J1809"/>
      <c r="K1809"/>
      <c r="L1809"/>
    </row>
    <row r="1810" spans="1:12">
      <c r="A1810"/>
      <c r="B1810"/>
      <c r="C1810"/>
      <c r="D1810"/>
      <c r="E1810"/>
      <c r="F1810"/>
      <c r="G1810"/>
      <c r="H1810"/>
      <c r="I1810"/>
      <c r="J1810"/>
      <c r="K1810"/>
      <c r="L1810"/>
    </row>
    <row r="1811" spans="1:12">
      <c r="A1811"/>
      <c r="B1811"/>
      <c r="C1811"/>
      <c r="D1811"/>
      <c r="E1811"/>
      <c r="F1811"/>
      <c r="G1811"/>
      <c r="H1811"/>
      <c r="I1811"/>
      <c r="J1811"/>
      <c r="K1811"/>
      <c r="L1811"/>
    </row>
    <row r="1812" spans="1:12">
      <c r="A1812"/>
      <c r="B1812"/>
      <c r="C1812"/>
      <c r="D1812"/>
      <c r="E1812"/>
      <c r="F1812"/>
      <c r="G1812"/>
      <c r="H1812"/>
      <c r="I1812"/>
      <c r="J1812"/>
      <c r="K1812"/>
      <c r="L1812"/>
    </row>
    <row r="1813" spans="1:12">
      <c r="A1813"/>
      <c r="B1813"/>
      <c r="C1813"/>
      <c r="D1813"/>
      <c r="E1813"/>
      <c r="F1813"/>
      <c r="G1813"/>
      <c r="H1813"/>
      <c r="I1813"/>
      <c r="J1813"/>
      <c r="K1813"/>
      <c r="L1813"/>
    </row>
    <row r="1814" spans="1:12">
      <c r="A1814"/>
      <c r="B1814"/>
      <c r="C1814"/>
      <c r="D1814"/>
      <c r="E1814"/>
      <c r="F1814"/>
      <c r="G1814"/>
      <c r="H1814"/>
      <c r="I1814"/>
      <c r="J1814"/>
      <c r="K1814"/>
      <c r="L1814"/>
    </row>
    <row r="1815" spans="1:12">
      <c r="A1815"/>
      <c r="B1815"/>
      <c r="C1815"/>
      <c r="D1815"/>
      <c r="E1815"/>
      <c r="F1815"/>
      <c r="G1815"/>
      <c r="H1815"/>
      <c r="I1815"/>
      <c r="J1815"/>
      <c r="K1815"/>
      <c r="L1815"/>
    </row>
    <row r="1816" spans="1:12">
      <c r="A1816"/>
      <c r="B1816"/>
      <c r="C1816"/>
      <c r="D1816"/>
      <c r="E1816"/>
      <c r="F1816"/>
      <c r="G1816"/>
      <c r="H1816"/>
      <c r="I1816"/>
      <c r="J1816"/>
      <c r="K1816"/>
      <c r="L1816"/>
    </row>
    <row r="1817" spans="1:12">
      <c r="A1817"/>
      <c r="B1817"/>
      <c r="C1817"/>
      <c r="D1817"/>
      <c r="E1817"/>
      <c r="F1817"/>
      <c r="G1817"/>
      <c r="H1817"/>
      <c r="I1817"/>
      <c r="J1817"/>
      <c r="K1817"/>
      <c r="L1817"/>
    </row>
    <row r="1818" spans="1:12">
      <c r="A1818"/>
      <c r="B1818"/>
      <c r="C1818"/>
      <c r="D1818"/>
      <c r="E1818"/>
      <c r="F1818"/>
      <c r="G1818"/>
      <c r="H1818"/>
      <c r="I1818"/>
      <c r="J1818"/>
      <c r="K1818"/>
      <c r="L1818"/>
    </row>
    <row r="1819" spans="1:12">
      <c r="A1819"/>
      <c r="B1819"/>
      <c r="C1819"/>
      <c r="D1819"/>
      <c r="E1819"/>
      <c r="F1819"/>
      <c r="G1819"/>
      <c r="H1819"/>
      <c r="I1819"/>
      <c r="J1819"/>
      <c r="K1819"/>
      <c r="L1819"/>
    </row>
    <row r="1820" spans="1:12">
      <c r="A1820"/>
      <c r="B1820"/>
      <c r="C1820"/>
      <c r="D1820"/>
      <c r="E1820"/>
      <c r="F1820"/>
      <c r="G1820"/>
      <c r="H1820"/>
      <c r="I1820"/>
      <c r="J1820"/>
      <c r="K1820"/>
      <c r="L1820"/>
    </row>
    <row r="1821" spans="1:12">
      <c r="A1821"/>
      <c r="B1821"/>
      <c r="C1821"/>
      <c r="D1821"/>
      <c r="E1821"/>
      <c r="F1821"/>
      <c r="G1821"/>
      <c r="H1821"/>
      <c r="I1821"/>
      <c r="J1821"/>
      <c r="K1821"/>
      <c r="L1821"/>
    </row>
    <row r="1822" spans="1:12">
      <c r="A1822"/>
      <c r="B1822"/>
      <c r="C1822"/>
      <c r="D1822"/>
      <c r="E1822"/>
      <c r="F1822"/>
      <c r="G1822"/>
      <c r="H1822"/>
      <c r="I1822"/>
      <c r="J1822"/>
      <c r="K1822"/>
      <c r="L1822"/>
    </row>
    <row r="1823" spans="1:12">
      <c r="A1823"/>
      <c r="B1823"/>
      <c r="C1823"/>
      <c r="D1823"/>
      <c r="E1823"/>
      <c r="F1823"/>
      <c r="G1823"/>
      <c r="H1823"/>
      <c r="I1823"/>
      <c r="J1823"/>
      <c r="K1823"/>
      <c r="L1823"/>
    </row>
    <row r="1824" spans="1:12">
      <c r="A1824"/>
      <c r="B1824"/>
      <c r="C1824"/>
      <c r="D1824"/>
      <c r="E1824"/>
      <c r="F1824"/>
      <c r="G1824"/>
      <c r="H1824"/>
      <c r="I1824"/>
      <c r="J1824"/>
      <c r="K1824"/>
      <c r="L1824"/>
    </row>
    <row r="1825" spans="1:12">
      <c r="A1825"/>
      <c r="B1825"/>
      <c r="C1825"/>
      <c r="D1825"/>
      <c r="E1825"/>
      <c r="F1825"/>
      <c r="G1825"/>
      <c r="H1825"/>
      <c r="I1825"/>
      <c r="J1825"/>
      <c r="K1825"/>
      <c r="L1825"/>
    </row>
    <row r="1826" spans="1:12">
      <c r="A1826"/>
      <c r="B1826"/>
      <c r="C1826"/>
      <c r="D1826"/>
      <c r="E1826"/>
      <c r="F1826"/>
      <c r="G1826"/>
      <c r="H1826"/>
      <c r="I1826"/>
      <c r="J1826"/>
      <c r="K1826"/>
      <c r="L1826"/>
    </row>
    <row r="1827" spans="1:12">
      <c r="A1827"/>
      <c r="B1827"/>
      <c r="C1827"/>
      <c r="D1827"/>
      <c r="E1827"/>
      <c r="F1827"/>
      <c r="G1827"/>
      <c r="H1827"/>
      <c r="I1827"/>
      <c r="J1827"/>
      <c r="K1827"/>
      <c r="L1827"/>
    </row>
    <row r="1828" spans="1:12">
      <c r="A1828"/>
      <c r="B1828"/>
      <c r="C1828"/>
      <c r="D1828"/>
      <c r="E1828"/>
      <c r="F1828"/>
      <c r="G1828"/>
      <c r="H1828"/>
      <c r="I1828"/>
      <c r="J1828"/>
      <c r="K1828"/>
      <c r="L1828"/>
    </row>
    <row r="1829" spans="1:12">
      <c r="A1829"/>
      <c r="B1829"/>
      <c r="C1829"/>
      <c r="D1829"/>
      <c r="E1829"/>
      <c r="F1829"/>
      <c r="G1829"/>
      <c r="H1829"/>
      <c r="I1829"/>
      <c r="J1829"/>
      <c r="K1829"/>
      <c r="L1829"/>
    </row>
    <row r="1830" spans="1:12">
      <c r="A1830"/>
      <c r="B1830"/>
      <c r="C1830"/>
      <c r="D1830"/>
      <c r="E1830"/>
      <c r="F1830"/>
      <c r="G1830"/>
      <c r="H1830"/>
      <c r="I1830"/>
      <c r="J1830"/>
      <c r="K1830"/>
      <c r="L1830"/>
    </row>
    <row r="1831" spans="1:12">
      <c r="A1831"/>
      <c r="B1831"/>
      <c r="C1831"/>
      <c r="D1831"/>
      <c r="E1831"/>
      <c r="F1831"/>
      <c r="G1831"/>
      <c r="H1831"/>
      <c r="I1831"/>
      <c r="J1831"/>
      <c r="K1831"/>
      <c r="L1831"/>
    </row>
    <row r="1832" spans="1:12">
      <c r="A1832"/>
      <c r="B1832"/>
      <c r="C1832"/>
      <c r="D1832"/>
      <c r="E1832"/>
      <c r="F1832"/>
      <c r="G1832"/>
      <c r="H1832"/>
      <c r="I1832"/>
      <c r="J1832"/>
      <c r="K1832"/>
      <c r="L1832"/>
    </row>
    <row r="1833" spans="1:12">
      <c r="A1833"/>
      <c r="B1833"/>
      <c r="C1833"/>
      <c r="D1833"/>
      <c r="E1833"/>
      <c r="F1833"/>
      <c r="G1833"/>
      <c r="H1833"/>
      <c r="I1833"/>
      <c r="J1833"/>
      <c r="K1833"/>
      <c r="L1833"/>
    </row>
    <row r="1834" spans="1:12">
      <c r="A1834"/>
      <c r="B1834"/>
      <c r="C1834"/>
      <c r="D1834"/>
      <c r="E1834"/>
      <c r="F1834"/>
      <c r="G1834"/>
      <c r="H1834"/>
      <c r="I1834"/>
      <c r="J1834"/>
      <c r="K1834"/>
      <c r="L1834"/>
    </row>
    <row r="1835" spans="1:12">
      <c r="A1835"/>
      <c r="B1835"/>
      <c r="C1835"/>
      <c r="D1835"/>
      <c r="E1835"/>
      <c r="F1835"/>
      <c r="G1835"/>
      <c r="H1835"/>
      <c r="I1835"/>
      <c r="J1835"/>
      <c r="K1835"/>
      <c r="L1835"/>
    </row>
    <row r="1836" spans="1:12">
      <c r="A1836"/>
      <c r="B1836"/>
      <c r="C1836"/>
      <c r="D1836"/>
      <c r="E1836"/>
      <c r="F1836"/>
      <c r="G1836"/>
      <c r="H1836"/>
      <c r="I1836"/>
      <c r="J1836"/>
      <c r="K1836"/>
      <c r="L1836"/>
    </row>
    <row r="1837" spans="1:12">
      <c r="A1837"/>
      <c r="B1837"/>
      <c r="C1837"/>
      <c r="D1837"/>
      <c r="E1837"/>
      <c r="F1837"/>
      <c r="G1837"/>
      <c r="H1837"/>
      <c r="I1837"/>
      <c r="J1837"/>
      <c r="K1837"/>
      <c r="L1837"/>
    </row>
    <row r="1838" spans="1:12">
      <c r="A1838"/>
      <c r="B1838"/>
      <c r="C1838"/>
      <c r="D1838"/>
      <c r="E1838"/>
      <c r="F1838"/>
      <c r="G1838"/>
      <c r="H1838"/>
      <c r="I1838"/>
      <c r="J1838"/>
      <c r="K1838"/>
      <c r="L1838"/>
    </row>
    <row r="1839" spans="1:12">
      <c r="A1839"/>
      <c r="B1839"/>
      <c r="C1839"/>
      <c r="D1839"/>
      <c r="E1839"/>
      <c r="F1839"/>
      <c r="G1839"/>
      <c r="H1839"/>
      <c r="I1839"/>
      <c r="J1839"/>
      <c r="K1839"/>
      <c r="L1839"/>
    </row>
    <row r="1840" spans="1:12">
      <c r="A1840"/>
      <c r="B1840"/>
      <c r="C1840"/>
      <c r="D1840"/>
      <c r="E1840"/>
      <c r="F1840"/>
      <c r="G1840"/>
      <c r="H1840"/>
      <c r="I1840"/>
      <c r="J1840"/>
      <c r="K1840"/>
      <c r="L1840"/>
    </row>
    <row r="1841" spans="1:12">
      <c r="A1841"/>
      <c r="B1841"/>
      <c r="C1841"/>
      <c r="D1841"/>
      <c r="E1841"/>
      <c r="F1841"/>
      <c r="G1841"/>
      <c r="H1841"/>
      <c r="I1841"/>
      <c r="J1841"/>
      <c r="K1841"/>
      <c r="L1841"/>
    </row>
    <row r="1842" spans="1:12">
      <c r="A1842"/>
      <c r="B1842"/>
      <c r="C1842"/>
      <c r="D1842"/>
      <c r="E1842"/>
      <c r="F1842"/>
      <c r="G1842"/>
      <c r="H1842"/>
      <c r="I1842"/>
      <c r="J1842"/>
      <c r="K1842"/>
      <c r="L1842"/>
    </row>
    <row r="1843" spans="1:12">
      <c r="A1843"/>
      <c r="B1843"/>
      <c r="C1843"/>
      <c r="D1843"/>
      <c r="E1843"/>
      <c r="F1843"/>
      <c r="G1843"/>
      <c r="H1843"/>
      <c r="I1843"/>
      <c r="J1843"/>
      <c r="K1843"/>
      <c r="L1843"/>
    </row>
    <row r="1844" spans="1:12">
      <c r="A1844"/>
      <c r="B1844"/>
      <c r="C1844"/>
      <c r="D1844"/>
      <c r="E1844"/>
      <c r="F1844"/>
      <c r="G1844"/>
      <c r="H1844"/>
      <c r="I1844"/>
      <c r="J1844"/>
      <c r="K1844"/>
      <c r="L1844"/>
    </row>
    <row r="1845" spans="1:12">
      <c r="A1845"/>
      <c r="B1845"/>
      <c r="C1845"/>
      <c r="D1845"/>
      <c r="E1845"/>
      <c r="F1845"/>
      <c r="G1845"/>
      <c r="H1845"/>
      <c r="I1845"/>
      <c r="J1845"/>
      <c r="K1845"/>
      <c r="L1845"/>
    </row>
    <row r="1846" spans="1:12">
      <c r="A1846"/>
      <c r="B1846"/>
      <c r="C1846"/>
      <c r="D1846"/>
      <c r="E1846"/>
      <c r="F1846"/>
      <c r="G1846"/>
      <c r="H1846"/>
      <c r="I1846"/>
      <c r="J1846"/>
      <c r="K1846"/>
      <c r="L1846"/>
    </row>
    <row r="1847" spans="1:12">
      <c r="A1847"/>
      <c r="B1847"/>
      <c r="C1847"/>
      <c r="D1847"/>
      <c r="E1847"/>
      <c r="F1847"/>
      <c r="G1847"/>
      <c r="H1847"/>
      <c r="I1847"/>
      <c r="J1847"/>
      <c r="K1847"/>
      <c r="L1847"/>
    </row>
    <row r="1848" spans="1:12">
      <c r="A1848"/>
      <c r="B1848"/>
      <c r="C1848"/>
      <c r="D1848"/>
      <c r="E1848"/>
      <c r="F1848"/>
      <c r="G1848"/>
      <c r="H1848"/>
      <c r="I1848"/>
      <c r="J1848"/>
      <c r="K1848"/>
      <c r="L1848"/>
    </row>
    <row r="1849" spans="1:12">
      <c r="A1849"/>
      <c r="B1849"/>
      <c r="C1849"/>
      <c r="D1849"/>
      <c r="E1849"/>
      <c r="F1849"/>
      <c r="G1849"/>
      <c r="H1849"/>
      <c r="I1849"/>
      <c r="J1849"/>
      <c r="K1849"/>
      <c r="L1849"/>
    </row>
    <row r="1850" spans="1:12">
      <c r="A1850"/>
      <c r="B1850"/>
      <c r="C1850"/>
      <c r="D1850"/>
      <c r="E1850"/>
      <c r="F1850"/>
      <c r="G1850"/>
      <c r="H1850"/>
      <c r="I1850"/>
      <c r="J1850"/>
      <c r="K1850"/>
      <c r="L1850"/>
    </row>
    <row r="1851" spans="1:12">
      <c r="A1851"/>
      <c r="B1851"/>
      <c r="C1851"/>
      <c r="D1851"/>
      <c r="E1851"/>
      <c r="F1851"/>
      <c r="G1851"/>
      <c r="H1851"/>
      <c r="I1851"/>
      <c r="J1851"/>
      <c r="K1851"/>
      <c r="L1851"/>
    </row>
    <row r="1852" spans="1:12">
      <c r="A1852"/>
      <c r="B1852"/>
      <c r="C1852"/>
      <c r="D1852"/>
      <c r="E1852"/>
      <c r="F1852"/>
      <c r="G1852"/>
      <c r="H1852"/>
      <c r="I1852"/>
      <c r="J1852"/>
      <c r="K1852"/>
      <c r="L1852"/>
    </row>
    <row r="1853" spans="1:12">
      <c r="A1853"/>
      <c r="B1853"/>
      <c r="C1853"/>
      <c r="D1853"/>
      <c r="E1853"/>
      <c r="F1853"/>
      <c r="G1853"/>
      <c r="H1853"/>
      <c r="I1853"/>
      <c r="J1853"/>
      <c r="K1853"/>
      <c r="L1853"/>
    </row>
    <row r="1854" spans="1:12">
      <c r="A1854"/>
      <c r="B1854"/>
      <c r="C1854"/>
      <c r="D1854"/>
      <c r="E1854"/>
      <c r="F1854"/>
      <c r="G1854"/>
      <c r="H1854"/>
      <c r="I1854"/>
      <c r="J1854"/>
      <c r="K1854"/>
      <c r="L1854"/>
    </row>
    <row r="1855" spans="1:12">
      <c r="A1855"/>
      <c r="B1855"/>
      <c r="C1855"/>
      <c r="D1855"/>
      <c r="E1855"/>
      <c r="F1855"/>
      <c r="G1855"/>
      <c r="H1855"/>
      <c r="I1855"/>
      <c r="J1855"/>
      <c r="K1855"/>
      <c r="L1855"/>
    </row>
    <row r="1856" spans="1:12">
      <c r="A1856"/>
      <c r="B1856"/>
      <c r="C1856"/>
      <c r="D1856"/>
      <c r="E1856"/>
      <c r="F1856"/>
      <c r="G1856"/>
      <c r="H1856"/>
      <c r="I1856"/>
      <c r="J1856"/>
      <c r="K1856"/>
      <c r="L1856"/>
    </row>
    <row r="1857" spans="1:12">
      <c r="A1857"/>
      <c r="B1857"/>
      <c r="C1857"/>
      <c r="D1857"/>
      <c r="E1857"/>
      <c r="F1857"/>
      <c r="G1857"/>
      <c r="H1857"/>
      <c r="I1857"/>
      <c r="J1857"/>
      <c r="K1857"/>
      <c r="L1857"/>
    </row>
    <row r="1858" spans="1:12">
      <c r="A1858"/>
      <c r="B1858"/>
      <c r="C1858"/>
      <c r="D1858"/>
      <c r="E1858"/>
      <c r="F1858"/>
      <c r="G1858"/>
      <c r="H1858"/>
      <c r="I1858"/>
      <c r="J1858"/>
      <c r="K1858"/>
      <c r="L1858"/>
    </row>
    <row r="1859" spans="1:12">
      <c r="A1859"/>
      <c r="B1859"/>
      <c r="C1859"/>
      <c r="D1859"/>
      <c r="E1859"/>
      <c r="F1859"/>
      <c r="G1859"/>
      <c r="H1859"/>
      <c r="I1859"/>
      <c r="J1859"/>
      <c r="K1859"/>
      <c r="L1859"/>
    </row>
    <row r="1860" spans="1:12">
      <c r="A1860"/>
      <c r="B1860"/>
      <c r="C1860"/>
      <c r="D1860"/>
      <c r="E1860"/>
      <c r="F1860"/>
      <c r="G1860"/>
      <c r="H1860"/>
      <c r="I1860"/>
      <c r="J1860"/>
      <c r="K1860"/>
      <c r="L1860"/>
    </row>
    <row r="1861" spans="1:12">
      <c r="A1861"/>
      <c r="B1861"/>
      <c r="C1861"/>
      <c r="D1861"/>
      <c r="E1861"/>
      <c r="F1861"/>
      <c r="G1861"/>
      <c r="H1861"/>
      <c r="I1861"/>
      <c r="J1861"/>
      <c r="K1861"/>
      <c r="L1861"/>
    </row>
    <row r="1862" spans="1:12">
      <c r="A1862"/>
      <c r="B1862"/>
      <c r="C1862"/>
      <c r="D1862"/>
      <c r="E1862"/>
      <c r="F1862"/>
      <c r="G1862"/>
      <c r="H1862"/>
      <c r="I1862"/>
      <c r="J1862"/>
      <c r="K1862"/>
      <c r="L1862"/>
    </row>
    <row r="1863" spans="1:12">
      <c r="A1863"/>
      <c r="B1863"/>
      <c r="C1863"/>
      <c r="D1863"/>
      <c r="E1863"/>
      <c r="F1863"/>
      <c r="G1863"/>
      <c r="H1863"/>
      <c r="I1863"/>
      <c r="J1863"/>
      <c r="K1863"/>
      <c r="L1863"/>
    </row>
    <row r="1864" spans="1:12">
      <c r="A1864"/>
      <c r="B1864"/>
      <c r="C1864"/>
      <c r="D1864"/>
      <c r="E1864"/>
      <c r="F1864"/>
      <c r="G1864"/>
      <c r="H1864"/>
      <c r="I1864"/>
      <c r="J1864"/>
      <c r="K1864"/>
      <c r="L1864"/>
    </row>
    <row r="1865" spans="1:12">
      <c r="A1865"/>
      <c r="B1865"/>
      <c r="C1865"/>
      <c r="D1865"/>
      <c r="E1865"/>
      <c r="F1865"/>
      <c r="G1865"/>
      <c r="H1865"/>
      <c r="I1865"/>
      <c r="J1865"/>
      <c r="K1865"/>
      <c r="L1865"/>
    </row>
    <row r="1866" spans="1:12">
      <c r="A1866"/>
      <c r="B1866"/>
      <c r="C1866"/>
      <c r="D1866"/>
      <c r="E1866"/>
      <c r="F1866"/>
      <c r="G1866"/>
      <c r="H1866"/>
      <c r="I1866"/>
      <c r="J1866"/>
      <c r="K1866"/>
      <c r="L1866"/>
    </row>
    <row r="1867" spans="1:12">
      <c r="A1867"/>
      <c r="B1867"/>
      <c r="C1867"/>
      <c r="D1867"/>
      <c r="E1867"/>
      <c r="F1867"/>
      <c r="G1867"/>
      <c r="H1867"/>
      <c r="I1867"/>
      <c r="J1867"/>
      <c r="K1867"/>
      <c r="L1867"/>
    </row>
    <row r="1868" spans="1:12">
      <c r="A1868"/>
      <c r="B1868"/>
      <c r="C1868"/>
      <c r="D1868"/>
      <c r="E1868"/>
      <c r="F1868"/>
      <c r="G1868"/>
      <c r="H1868"/>
      <c r="I1868"/>
      <c r="J1868"/>
      <c r="K1868"/>
      <c r="L1868"/>
    </row>
    <row r="1869" spans="1:12">
      <c r="A1869"/>
      <c r="B1869"/>
      <c r="C1869"/>
      <c r="D1869"/>
      <c r="E1869"/>
      <c r="F1869"/>
      <c r="G1869"/>
      <c r="H1869"/>
      <c r="I1869"/>
      <c r="J1869"/>
      <c r="K1869"/>
      <c r="L1869"/>
    </row>
    <row r="1870" spans="1:12">
      <c r="A1870"/>
      <c r="B1870"/>
      <c r="C1870"/>
      <c r="D1870"/>
      <c r="E1870"/>
      <c r="F1870"/>
      <c r="G1870"/>
      <c r="H1870"/>
      <c r="I1870"/>
      <c r="J1870"/>
      <c r="K1870"/>
      <c r="L1870"/>
    </row>
    <row r="1871" spans="1:12">
      <c r="A1871"/>
      <c r="B1871"/>
      <c r="C1871"/>
      <c r="D1871"/>
      <c r="E1871"/>
      <c r="F1871"/>
      <c r="G1871"/>
      <c r="H1871"/>
      <c r="I1871"/>
      <c r="J1871"/>
      <c r="K1871"/>
      <c r="L1871"/>
    </row>
    <row r="1872" spans="1:12">
      <c r="A1872"/>
      <c r="B1872"/>
      <c r="C1872"/>
      <c r="D1872"/>
      <c r="E1872"/>
      <c r="F1872"/>
      <c r="G1872"/>
      <c r="H1872"/>
      <c r="I1872"/>
      <c r="J1872"/>
      <c r="K1872"/>
      <c r="L1872"/>
    </row>
    <row r="1873" spans="1:12">
      <c r="A1873"/>
      <c r="B1873"/>
      <c r="C1873"/>
      <c r="D1873"/>
      <c r="E1873"/>
      <c r="F1873"/>
      <c r="G1873"/>
      <c r="H1873"/>
      <c r="I1873"/>
      <c r="J1873"/>
      <c r="K1873"/>
      <c r="L1873"/>
    </row>
    <row r="1874" spans="1:12">
      <c r="A1874"/>
      <c r="B1874"/>
      <c r="C1874"/>
      <c r="D1874"/>
      <c r="E1874"/>
      <c r="F1874"/>
      <c r="G1874"/>
      <c r="H1874"/>
      <c r="I1874"/>
      <c r="J1874"/>
      <c r="K1874"/>
      <c r="L1874"/>
    </row>
    <row r="1875" spans="1:12">
      <c r="A1875"/>
      <c r="B1875"/>
      <c r="C1875"/>
      <c r="D1875"/>
      <c r="E1875"/>
      <c r="F1875"/>
      <c r="G1875"/>
      <c r="H1875"/>
      <c r="I1875"/>
      <c r="J1875"/>
      <c r="K1875"/>
      <c r="L1875"/>
    </row>
    <row r="1876" spans="1:12">
      <c r="A1876"/>
      <c r="B1876"/>
      <c r="C1876"/>
      <c r="D1876"/>
      <c r="E1876"/>
      <c r="F1876"/>
      <c r="G1876"/>
      <c r="H1876"/>
      <c r="I1876"/>
      <c r="J1876"/>
      <c r="K1876"/>
      <c r="L1876"/>
    </row>
    <row r="1877" spans="1:12">
      <c r="A1877"/>
      <c r="B1877"/>
      <c r="C1877"/>
      <c r="D1877"/>
      <c r="E1877"/>
      <c r="F1877"/>
      <c r="G1877"/>
      <c r="H1877"/>
      <c r="I1877"/>
      <c r="J1877"/>
      <c r="K1877"/>
      <c r="L1877"/>
    </row>
    <row r="1878" spans="1:12">
      <c r="A1878"/>
      <c r="B1878"/>
      <c r="C1878"/>
      <c r="D1878"/>
      <c r="E1878"/>
      <c r="F1878"/>
      <c r="G1878"/>
      <c r="H1878"/>
      <c r="I1878"/>
      <c r="J1878"/>
      <c r="K1878"/>
      <c r="L1878"/>
    </row>
    <row r="1879" spans="1:12">
      <c r="A1879"/>
      <c r="B1879"/>
      <c r="C1879"/>
      <c r="D1879"/>
      <c r="E1879"/>
      <c r="F1879"/>
      <c r="G1879"/>
      <c r="H1879"/>
      <c r="I1879"/>
      <c r="J1879"/>
      <c r="K1879"/>
      <c r="L1879"/>
    </row>
    <row r="1880" spans="1:12">
      <c r="A1880"/>
      <c r="B1880"/>
      <c r="C1880"/>
      <c r="D1880"/>
      <c r="E1880"/>
      <c r="F1880"/>
      <c r="G1880"/>
      <c r="H1880"/>
      <c r="I1880"/>
      <c r="J1880"/>
      <c r="K1880"/>
      <c r="L1880"/>
    </row>
    <row r="1881" spans="1:12">
      <c r="A1881"/>
      <c r="B1881"/>
      <c r="C1881"/>
      <c r="D1881"/>
      <c r="E1881"/>
      <c r="F1881"/>
      <c r="G1881"/>
      <c r="H1881"/>
      <c r="I1881"/>
      <c r="J1881"/>
      <c r="K1881"/>
      <c r="L1881"/>
    </row>
    <row r="1882" spans="1:12">
      <c r="A1882"/>
      <c r="B1882"/>
      <c r="C1882"/>
      <c r="D1882"/>
      <c r="E1882"/>
      <c r="F1882"/>
      <c r="G1882"/>
      <c r="H1882"/>
      <c r="I1882"/>
      <c r="J1882"/>
      <c r="K1882"/>
      <c r="L1882"/>
    </row>
    <row r="1883" spans="1:12">
      <c r="A1883"/>
      <c r="B1883"/>
      <c r="C1883"/>
      <c r="D1883"/>
      <c r="E1883"/>
      <c r="F1883"/>
      <c r="G1883"/>
      <c r="H1883"/>
      <c r="I1883"/>
      <c r="J1883"/>
      <c r="K1883"/>
      <c r="L1883"/>
    </row>
    <row r="1884" spans="1:12">
      <c r="A1884"/>
      <c r="B1884"/>
      <c r="C1884"/>
      <c r="D1884"/>
      <c r="E1884"/>
      <c r="F1884"/>
      <c r="G1884"/>
      <c r="H1884"/>
      <c r="I1884"/>
      <c r="J1884"/>
      <c r="K1884"/>
      <c r="L1884"/>
    </row>
    <row r="1885" spans="1:12">
      <c r="A1885"/>
      <c r="B1885"/>
      <c r="C1885"/>
      <c r="D1885"/>
      <c r="E1885"/>
      <c r="F1885"/>
      <c r="G1885"/>
      <c r="H1885"/>
      <c r="I1885"/>
      <c r="J1885"/>
      <c r="K1885"/>
      <c r="L1885"/>
    </row>
    <row r="1886" spans="1:12">
      <c r="A1886"/>
      <c r="B1886"/>
      <c r="C1886"/>
      <c r="D1886"/>
      <c r="E1886"/>
      <c r="F1886"/>
      <c r="G1886"/>
      <c r="H1886"/>
      <c r="I1886"/>
      <c r="J1886"/>
      <c r="K1886"/>
      <c r="L1886"/>
    </row>
    <row r="1887" spans="1:12">
      <c r="A1887"/>
      <c r="B1887"/>
      <c r="C1887"/>
      <c r="D1887"/>
      <c r="E1887"/>
      <c r="F1887"/>
      <c r="G1887"/>
      <c r="H1887"/>
      <c r="I1887"/>
      <c r="J1887"/>
      <c r="K1887"/>
      <c r="L1887"/>
    </row>
    <row r="1888" spans="1:12">
      <c r="A1888"/>
      <c r="B1888"/>
      <c r="C1888"/>
      <c r="D1888"/>
      <c r="E1888"/>
      <c r="F1888"/>
      <c r="G1888"/>
      <c r="H1888"/>
      <c r="I1888"/>
      <c r="J1888"/>
      <c r="K1888"/>
      <c r="L1888"/>
    </row>
    <row r="1889" spans="1:12">
      <c r="A1889"/>
      <c r="B1889"/>
      <c r="C1889"/>
      <c r="D1889"/>
      <c r="E1889"/>
      <c r="F1889"/>
      <c r="G1889"/>
      <c r="H1889"/>
      <c r="I1889"/>
      <c r="J1889"/>
      <c r="K1889"/>
      <c r="L1889"/>
    </row>
    <row r="1890" spans="1:12">
      <c r="A1890"/>
      <c r="B1890"/>
      <c r="C1890"/>
      <c r="D1890"/>
      <c r="E1890"/>
      <c r="F1890"/>
      <c r="G1890"/>
      <c r="H1890"/>
      <c r="I1890"/>
      <c r="J1890"/>
      <c r="K1890"/>
      <c r="L1890"/>
    </row>
    <row r="1891" spans="1:12">
      <c r="A1891"/>
      <c r="B1891"/>
      <c r="C1891"/>
      <c r="D1891"/>
      <c r="E1891"/>
      <c r="F1891"/>
      <c r="G1891"/>
      <c r="H1891"/>
      <c r="I1891"/>
      <c r="J1891"/>
      <c r="K1891"/>
      <c r="L1891"/>
    </row>
    <row r="1892" spans="1:12">
      <c r="A1892"/>
      <c r="B1892"/>
      <c r="C1892"/>
      <c r="D1892"/>
      <c r="E1892"/>
      <c r="F1892"/>
      <c r="G1892"/>
      <c r="H1892"/>
      <c r="I1892"/>
      <c r="J1892"/>
      <c r="K1892"/>
      <c r="L1892"/>
    </row>
    <row r="1893" spans="1:12">
      <c r="A1893"/>
      <c r="B1893"/>
      <c r="C1893"/>
      <c r="D1893"/>
      <c r="E1893"/>
      <c r="F1893"/>
      <c r="G1893"/>
      <c r="H1893"/>
      <c r="I1893"/>
      <c r="J1893"/>
      <c r="K1893"/>
      <c r="L1893"/>
    </row>
    <row r="1894" spans="1:12">
      <c r="A1894"/>
      <c r="B1894"/>
      <c r="C1894"/>
      <c r="D1894"/>
      <c r="E1894"/>
      <c r="F1894"/>
      <c r="G1894"/>
      <c r="H1894"/>
      <c r="I1894"/>
      <c r="J1894"/>
      <c r="K1894"/>
      <c r="L1894"/>
    </row>
    <row r="1895" spans="1:12">
      <c r="A1895"/>
      <c r="B1895"/>
      <c r="C1895"/>
      <c r="D1895"/>
      <c r="E1895"/>
      <c r="F1895"/>
      <c r="G1895"/>
      <c r="H1895"/>
      <c r="I1895"/>
      <c r="J1895"/>
      <c r="K1895"/>
      <c r="L1895"/>
    </row>
    <row r="1896" spans="1:12">
      <c r="A1896"/>
      <c r="B1896"/>
      <c r="C1896"/>
      <c r="D1896"/>
      <c r="E1896"/>
      <c r="F1896"/>
      <c r="G1896"/>
      <c r="H1896"/>
      <c r="I1896"/>
      <c r="J1896"/>
      <c r="K1896"/>
      <c r="L1896"/>
    </row>
    <row r="1897" spans="1:12">
      <c r="A1897"/>
      <c r="B1897"/>
      <c r="C1897"/>
      <c r="D1897"/>
      <c r="E1897"/>
      <c r="F1897"/>
      <c r="G1897"/>
      <c r="H1897"/>
      <c r="I1897"/>
      <c r="J1897"/>
      <c r="K1897"/>
      <c r="L1897"/>
    </row>
    <row r="1898" spans="1:12">
      <c r="A1898"/>
      <c r="B1898"/>
      <c r="C1898"/>
      <c r="D1898"/>
      <c r="E1898"/>
      <c r="F1898"/>
      <c r="G1898"/>
      <c r="H1898"/>
      <c r="I1898"/>
      <c r="J1898"/>
      <c r="K1898"/>
      <c r="L1898"/>
    </row>
    <row r="1899" spans="1:12">
      <c r="A1899"/>
      <c r="B1899"/>
      <c r="C1899"/>
      <c r="D1899"/>
      <c r="E1899"/>
      <c r="F1899"/>
      <c r="G1899"/>
      <c r="H1899"/>
      <c r="I1899"/>
      <c r="J1899"/>
      <c r="K1899"/>
      <c r="L1899"/>
    </row>
    <row r="1900" spans="1:12">
      <c r="A1900"/>
      <c r="B1900"/>
      <c r="C1900"/>
      <c r="D1900"/>
      <c r="E1900"/>
      <c r="F1900"/>
      <c r="G1900"/>
      <c r="H1900"/>
      <c r="I1900"/>
      <c r="J1900"/>
      <c r="K1900"/>
      <c r="L1900"/>
    </row>
    <row r="1901" spans="1:12">
      <c r="A1901"/>
      <c r="B1901"/>
      <c r="C1901"/>
      <c r="D1901"/>
      <c r="E1901"/>
      <c r="F1901"/>
      <c r="G1901"/>
      <c r="H1901"/>
      <c r="I1901"/>
      <c r="J1901"/>
      <c r="K1901"/>
      <c r="L1901"/>
    </row>
    <row r="1902" spans="1:12">
      <c r="A1902"/>
      <c r="B1902"/>
      <c r="C1902"/>
      <c r="D1902"/>
      <c r="E1902"/>
      <c r="F1902"/>
      <c r="G1902"/>
      <c r="H1902"/>
      <c r="I1902"/>
      <c r="J1902"/>
      <c r="K1902"/>
      <c r="L1902"/>
    </row>
    <row r="1903" spans="1:12">
      <c r="A1903"/>
      <c r="B1903"/>
      <c r="C1903"/>
      <c r="D1903"/>
      <c r="E1903"/>
      <c r="F1903"/>
      <c r="G1903"/>
      <c r="H1903"/>
      <c r="I1903"/>
      <c r="J1903"/>
      <c r="K1903"/>
      <c r="L1903"/>
    </row>
    <row r="1904" spans="1:12">
      <c r="A1904"/>
      <c r="B1904"/>
      <c r="C1904"/>
      <c r="D1904"/>
      <c r="E1904"/>
      <c r="F1904"/>
      <c r="G1904"/>
      <c r="H1904"/>
      <c r="I1904"/>
      <c r="J1904"/>
      <c r="K1904"/>
      <c r="L1904"/>
    </row>
    <row r="1905" spans="1:12">
      <c r="A1905"/>
      <c r="B1905"/>
      <c r="C1905"/>
      <c r="D1905"/>
      <c r="E1905"/>
      <c r="F1905"/>
      <c r="G1905"/>
      <c r="H1905"/>
      <c r="I1905"/>
      <c r="J1905"/>
      <c r="K1905"/>
      <c r="L1905"/>
    </row>
    <row r="1906" spans="1:12">
      <c r="A1906"/>
      <c r="B1906"/>
      <c r="C1906"/>
      <c r="D1906"/>
      <c r="E1906"/>
      <c r="F1906"/>
      <c r="G1906"/>
      <c r="H1906"/>
      <c r="I1906"/>
      <c r="J1906"/>
      <c r="K1906"/>
      <c r="L1906"/>
    </row>
    <row r="1907" spans="1:12">
      <c r="A1907"/>
      <c r="B1907"/>
      <c r="C1907"/>
      <c r="D1907"/>
      <c r="E1907"/>
      <c r="F1907"/>
      <c r="G1907"/>
      <c r="H1907"/>
      <c r="I1907"/>
      <c r="J1907"/>
      <c r="K1907"/>
      <c r="L1907"/>
    </row>
    <row r="1908" spans="1:12">
      <c r="A1908"/>
      <c r="B1908"/>
      <c r="C1908"/>
      <c r="D1908"/>
      <c r="E1908"/>
      <c r="F1908"/>
      <c r="G1908"/>
      <c r="H1908"/>
      <c r="I1908"/>
      <c r="J1908"/>
      <c r="K1908"/>
      <c r="L1908"/>
    </row>
    <row r="1909" spans="1:12">
      <c r="A1909"/>
      <c r="B1909"/>
      <c r="C1909"/>
      <c r="D1909"/>
      <c r="E1909"/>
      <c r="F1909"/>
      <c r="G1909"/>
      <c r="H1909"/>
      <c r="I1909"/>
      <c r="J1909"/>
      <c r="K1909"/>
      <c r="L1909"/>
    </row>
    <row r="1910" spans="1:12">
      <c r="A1910"/>
      <c r="B1910"/>
      <c r="C1910"/>
      <c r="D1910"/>
      <c r="E1910"/>
      <c r="F1910"/>
      <c r="G1910"/>
      <c r="H1910"/>
      <c r="I1910"/>
      <c r="J1910"/>
      <c r="K1910"/>
      <c r="L1910"/>
    </row>
    <row r="1911" spans="1:12">
      <c r="A1911"/>
      <c r="B1911"/>
      <c r="C1911"/>
      <c r="D1911"/>
      <c r="E1911"/>
      <c r="F1911"/>
      <c r="G1911"/>
      <c r="H1911"/>
      <c r="I1911"/>
      <c r="J1911"/>
      <c r="K1911"/>
      <c r="L1911"/>
    </row>
    <row r="1912" spans="1:12">
      <c r="A1912"/>
      <c r="B1912"/>
      <c r="C1912"/>
      <c r="D1912"/>
      <c r="E1912"/>
      <c r="F1912"/>
      <c r="G1912"/>
      <c r="H1912"/>
      <c r="I1912"/>
      <c r="J1912"/>
      <c r="K1912"/>
      <c r="L1912"/>
    </row>
    <row r="1913" spans="1:12">
      <c r="A1913"/>
      <c r="B1913"/>
      <c r="C1913"/>
      <c r="D1913"/>
      <c r="E1913"/>
      <c r="F1913"/>
      <c r="G1913"/>
      <c r="H1913"/>
      <c r="I1913"/>
      <c r="J1913"/>
      <c r="K1913"/>
      <c r="L1913"/>
    </row>
    <row r="1914" spans="1:12">
      <c r="A1914"/>
      <c r="B1914"/>
      <c r="C1914"/>
      <c r="D1914"/>
      <c r="E1914"/>
      <c r="F1914"/>
      <c r="G1914"/>
      <c r="H1914"/>
      <c r="I1914"/>
      <c r="J1914"/>
      <c r="K1914"/>
      <c r="L1914"/>
    </row>
    <row r="1915" spans="1:12">
      <c r="A1915"/>
      <c r="B1915"/>
      <c r="C1915"/>
      <c r="D1915"/>
      <c r="E1915"/>
      <c r="F1915"/>
      <c r="G1915"/>
      <c r="H1915"/>
      <c r="I1915"/>
      <c r="J1915"/>
      <c r="K1915"/>
      <c r="L1915"/>
    </row>
    <row r="1916" spans="1:12">
      <c r="A1916"/>
      <c r="B1916"/>
      <c r="C1916"/>
      <c r="D1916"/>
      <c r="E1916"/>
      <c r="F1916"/>
      <c r="G1916"/>
      <c r="H1916"/>
      <c r="I1916"/>
      <c r="J1916"/>
      <c r="K1916"/>
      <c r="L1916"/>
    </row>
    <row r="1917" spans="1:12">
      <c r="A1917"/>
      <c r="B1917"/>
      <c r="C1917"/>
      <c r="D1917"/>
      <c r="E1917"/>
      <c r="F1917"/>
      <c r="G1917"/>
      <c r="H1917"/>
      <c r="I1917"/>
      <c r="J1917"/>
      <c r="K1917"/>
      <c r="L1917"/>
    </row>
    <row r="1918" spans="1:12">
      <c r="A1918"/>
      <c r="B1918"/>
      <c r="C1918"/>
      <c r="D1918"/>
      <c r="E1918"/>
      <c r="F1918"/>
      <c r="G1918"/>
      <c r="H1918"/>
      <c r="I1918"/>
      <c r="J1918"/>
      <c r="K1918"/>
      <c r="L1918"/>
    </row>
    <row r="1919" spans="1:12">
      <c r="A1919"/>
      <c r="B1919"/>
      <c r="C1919"/>
      <c r="D1919"/>
      <c r="E1919"/>
      <c r="F1919"/>
      <c r="G1919"/>
      <c r="H1919"/>
      <c r="I1919"/>
      <c r="J1919"/>
      <c r="K1919"/>
      <c r="L1919"/>
    </row>
    <row r="1920" spans="1:12">
      <c r="A1920"/>
      <c r="B1920"/>
      <c r="C1920"/>
      <c r="D1920"/>
      <c r="E1920"/>
      <c r="F1920"/>
      <c r="G1920"/>
      <c r="H1920"/>
      <c r="I1920"/>
      <c r="J1920"/>
      <c r="K1920"/>
      <c r="L1920"/>
    </row>
    <row r="1921" spans="1:12">
      <c r="A1921"/>
      <c r="B1921"/>
      <c r="C1921"/>
      <c r="D1921"/>
      <c r="E1921"/>
      <c r="F1921"/>
      <c r="G1921"/>
      <c r="H1921"/>
      <c r="I1921"/>
      <c r="J1921"/>
      <c r="K1921"/>
      <c r="L1921"/>
    </row>
    <row r="1922" spans="1:12">
      <c r="A1922"/>
      <c r="B1922"/>
      <c r="C1922"/>
      <c r="D1922"/>
      <c r="E1922"/>
      <c r="F1922"/>
      <c r="G1922"/>
      <c r="H1922"/>
      <c r="I1922"/>
      <c r="J1922"/>
      <c r="K1922"/>
      <c r="L1922"/>
    </row>
    <row r="1923" spans="1:12">
      <c r="A1923"/>
      <c r="B1923"/>
      <c r="C1923"/>
      <c r="D1923"/>
      <c r="E1923"/>
      <c r="F1923"/>
      <c r="G1923"/>
      <c r="H1923"/>
      <c r="I1923"/>
      <c r="J1923"/>
      <c r="K1923"/>
      <c r="L1923"/>
    </row>
    <row r="1924" spans="1:12">
      <c r="A1924"/>
      <c r="B1924"/>
      <c r="C1924"/>
      <c r="D1924"/>
      <c r="E1924"/>
      <c r="F1924"/>
      <c r="G1924"/>
      <c r="H1924"/>
      <c r="I1924"/>
      <c r="J1924"/>
      <c r="K1924"/>
      <c r="L1924"/>
    </row>
    <row r="1925" spans="1:12">
      <c r="A1925"/>
      <c r="B1925"/>
      <c r="C1925"/>
      <c r="D1925"/>
      <c r="E1925"/>
      <c r="F1925"/>
      <c r="G1925"/>
      <c r="H1925"/>
      <c r="I1925"/>
      <c r="J1925"/>
      <c r="K1925"/>
      <c r="L1925"/>
    </row>
    <row r="1926" spans="1:12">
      <c r="A1926"/>
      <c r="B1926"/>
      <c r="C1926"/>
      <c r="D1926"/>
      <c r="E1926"/>
      <c r="F1926"/>
      <c r="G1926"/>
      <c r="H1926"/>
      <c r="I1926"/>
      <c r="J1926"/>
      <c r="K1926"/>
      <c r="L1926"/>
    </row>
    <row r="1927" spans="1:12">
      <c r="A1927"/>
      <c r="B1927"/>
      <c r="C1927"/>
      <c r="D1927"/>
      <c r="E1927"/>
      <c r="F1927"/>
      <c r="G1927"/>
      <c r="H1927"/>
      <c r="I1927"/>
      <c r="J1927"/>
      <c r="K1927"/>
      <c r="L1927"/>
    </row>
    <row r="1928" spans="1:12">
      <c r="A1928"/>
      <c r="B1928"/>
      <c r="C1928"/>
      <c r="D1928"/>
      <c r="E1928"/>
      <c r="F1928"/>
      <c r="G1928"/>
      <c r="H1928"/>
      <c r="I1928"/>
      <c r="J1928"/>
      <c r="K1928"/>
      <c r="L1928"/>
    </row>
    <row r="1929" spans="1:12">
      <c r="A1929"/>
      <c r="B1929"/>
      <c r="C1929"/>
      <c r="D1929"/>
      <c r="E1929"/>
      <c r="F1929"/>
      <c r="G1929"/>
      <c r="H1929"/>
      <c r="I1929"/>
      <c r="J1929"/>
      <c r="K1929"/>
      <c r="L1929"/>
    </row>
    <row r="1930" spans="1:12">
      <c r="A1930"/>
      <c r="B1930"/>
      <c r="C1930"/>
      <c r="D1930"/>
      <c r="E1930"/>
      <c r="F1930"/>
      <c r="G1930"/>
      <c r="H1930"/>
      <c r="I1930"/>
      <c r="J1930"/>
      <c r="K1930"/>
      <c r="L1930"/>
    </row>
    <row r="1931" spans="1:12">
      <c r="A1931"/>
      <c r="B1931"/>
      <c r="C1931"/>
      <c r="D1931"/>
      <c r="E1931"/>
      <c r="F1931"/>
      <c r="G1931"/>
      <c r="H1931"/>
      <c r="I1931"/>
      <c r="J1931"/>
      <c r="K1931"/>
      <c r="L1931"/>
    </row>
    <row r="1932" spans="1:12">
      <c r="A1932"/>
      <c r="B1932"/>
      <c r="C1932"/>
      <c r="D1932"/>
      <c r="E1932"/>
      <c r="F1932"/>
      <c r="G1932"/>
      <c r="H1932"/>
      <c r="I1932"/>
      <c r="J1932"/>
      <c r="K1932"/>
      <c r="L1932"/>
    </row>
    <row r="1933" spans="1:12">
      <c r="A1933"/>
      <c r="B1933"/>
      <c r="C1933"/>
      <c r="D1933"/>
      <c r="E1933"/>
      <c r="F1933"/>
      <c r="G1933"/>
      <c r="H1933"/>
      <c r="I1933"/>
      <c r="J1933"/>
      <c r="K1933"/>
      <c r="L1933"/>
    </row>
    <row r="1934" spans="1:12">
      <c r="A1934"/>
      <c r="B1934"/>
      <c r="C1934"/>
      <c r="D1934"/>
      <c r="E1934"/>
      <c r="F1934"/>
      <c r="G1934"/>
      <c r="H1934"/>
      <c r="I1934"/>
      <c r="J1934"/>
      <c r="K1934"/>
      <c r="L1934"/>
    </row>
    <row r="1935" spans="1:12">
      <c r="A1935"/>
      <c r="B1935"/>
      <c r="C1935"/>
      <c r="D1935"/>
      <c r="E1935"/>
      <c r="F1935"/>
      <c r="G1935"/>
      <c r="H1935"/>
      <c r="I1935"/>
      <c r="J1935"/>
      <c r="K1935"/>
      <c r="L1935"/>
    </row>
    <row r="1936" spans="1:12">
      <c r="A1936"/>
      <c r="B1936"/>
      <c r="C1936"/>
      <c r="D1936"/>
      <c r="E1936"/>
      <c r="F1936"/>
      <c r="G1936"/>
      <c r="H1936"/>
      <c r="I1936"/>
      <c r="J1936"/>
      <c r="K1936"/>
      <c r="L1936"/>
    </row>
  </sheetData>
  <sheetProtection selectLockedCells="1" selectUnlockedCells="1"/>
  <autoFilter ref="A1:N1"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Z1542"/>
  <sheetViews>
    <sheetView topLeftCell="A136" workbookViewId="0">
      <selection activeCell="B159" sqref="B159:B177"/>
    </sheetView>
  </sheetViews>
  <sheetFormatPr baseColWidth="10" defaultColWidth="8.83203125" defaultRowHeight="15"/>
  <cols>
    <col min="1" max="1" width="8.83203125" style="63"/>
    <col min="2" max="2" width="46.1640625" style="66" customWidth="1"/>
    <col min="3" max="3" width="6.5" style="80" customWidth="1"/>
    <col min="4" max="4" width="29.1640625" style="66" customWidth="1"/>
    <col min="5" max="5" width="9.5" style="79" customWidth="1"/>
    <col min="6" max="6" width="12.83203125" style="79" customWidth="1"/>
    <col min="7" max="8" width="14.5" style="79" customWidth="1"/>
    <col min="9" max="10" width="16" style="79" customWidth="1"/>
    <col min="11" max="19" width="15.83203125" style="63" customWidth="1"/>
    <col min="20" max="20" width="18.5" style="63" customWidth="1"/>
    <col min="21" max="22" width="16.5" style="63" customWidth="1"/>
    <col min="23" max="23" width="11.83203125" style="63" customWidth="1"/>
    <col min="24" max="24" width="10.5" style="63" customWidth="1"/>
    <col min="25" max="25" width="13.1640625" style="63" customWidth="1"/>
    <col min="26" max="26" width="14.83203125" style="63" customWidth="1"/>
    <col min="27" max="16384" width="8.83203125" style="63"/>
  </cols>
  <sheetData>
    <row r="1" spans="2:26" ht="48">
      <c r="B1" s="4" t="s">
        <v>302</v>
      </c>
      <c r="C1" s="102" t="s">
        <v>1521</v>
      </c>
      <c r="D1" s="4" t="s">
        <v>196</v>
      </c>
      <c r="E1" s="52" t="s">
        <v>2</v>
      </c>
      <c r="F1" s="51" t="s">
        <v>65</v>
      </c>
      <c r="G1" s="52" t="s">
        <v>1441</v>
      </c>
      <c r="H1" s="51" t="s">
        <v>1442</v>
      </c>
      <c r="I1" s="52" t="s">
        <v>1443</v>
      </c>
      <c r="J1" s="51" t="s">
        <v>1444</v>
      </c>
      <c r="K1" s="94" t="s">
        <v>1507</v>
      </c>
      <c r="L1" s="94" t="s">
        <v>1508</v>
      </c>
      <c r="M1" s="94" t="s">
        <v>1509</v>
      </c>
      <c r="N1" s="94" t="s">
        <v>1510</v>
      </c>
      <c r="O1" s="94" t="s">
        <v>1511</v>
      </c>
      <c r="P1" s="94" t="s">
        <v>1512</v>
      </c>
      <c r="Q1" s="94" t="s">
        <v>1516</v>
      </c>
      <c r="R1" s="94" t="s">
        <v>1517</v>
      </c>
      <c r="S1" s="103"/>
      <c r="T1" s="102" t="s">
        <v>1522</v>
      </c>
      <c r="V1" s="86"/>
    </row>
    <row r="2" spans="2:26">
      <c r="B2" s="10" t="s">
        <v>270</v>
      </c>
      <c r="C2" s="93">
        <v>1</v>
      </c>
      <c r="D2" s="10" t="s">
        <v>46</v>
      </c>
      <c r="E2" s="24">
        <f t="shared" ref="E2:E33" si="0">IF($T$2=1,G2,I2)</f>
        <v>171.55627153725877</v>
      </c>
      <c r="F2" s="24">
        <f t="shared" ref="F2:F33" si="1">IF($T$2=1,H2,J2)</f>
        <v>197</v>
      </c>
      <c r="G2" s="24">
        <v>171.55627153725877</v>
      </c>
      <c r="H2" s="24">
        <v>197</v>
      </c>
      <c r="I2" s="24">
        <v>113.52450882535209</v>
      </c>
      <c r="J2" s="24">
        <v>0</v>
      </c>
      <c r="K2" s="95">
        <v>0.75556012048448884</v>
      </c>
      <c r="L2" s="95">
        <v>0</v>
      </c>
      <c r="M2" s="95">
        <v>5.1690650197426122E-2</v>
      </c>
      <c r="N2" s="95">
        <v>0</v>
      </c>
      <c r="O2" s="95">
        <v>0.19274922931808502</v>
      </c>
      <c r="P2" s="95">
        <v>0</v>
      </c>
      <c r="Q2" s="95">
        <v>1</v>
      </c>
      <c r="R2" s="95">
        <v>1</v>
      </c>
      <c r="T2" s="81">
        <v>1</v>
      </c>
    </row>
    <row r="3" spans="2:26">
      <c r="B3" s="10" t="s">
        <v>210</v>
      </c>
      <c r="C3" s="93">
        <v>1</v>
      </c>
      <c r="D3" s="10" t="s">
        <v>46</v>
      </c>
      <c r="E3" s="24">
        <f t="shared" si="0"/>
        <v>5646.2556361725674</v>
      </c>
      <c r="F3" s="24">
        <f t="shared" si="1"/>
        <v>22601</v>
      </c>
      <c r="G3" s="24">
        <v>5646.2556361725674</v>
      </c>
      <c r="H3" s="24">
        <v>22601</v>
      </c>
      <c r="I3" s="24">
        <v>1747.6633900180302</v>
      </c>
      <c r="J3" s="24">
        <v>0</v>
      </c>
      <c r="K3" s="95">
        <v>0.37108440838737605</v>
      </c>
      <c r="L3" s="95">
        <v>0</v>
      </c>
      <c r="M3" s="95">
        <v>0.1527865841205274</v>
      </c>
      <c r="N3" s="95">
        <v>0</v>
      </c>
      <c r="O3" s="95">
        <v>0.47612900749209658</v>
      </c>
      <c r="P3" s="95">
        <v>0</v>
      </c>
      <c r="Q3" s="95">
        <v>1</v>
      </c>
      <c r="R3" s="95">
        <v>1</v>
      </c>
      <c r="S3" s="104"/>
      <c r="T3" s="105"/>
    </row>
    <row r="4" spans="2:26">
      <c r="B4" s="10" t="s">
        <v>217</v>
      </c>
      <c r="C4" s="93">
        <v>1</v>
      </c>
      <c r="D4" s="10" t="s">
        <v>46</v>
      </c>
      <c r="E4" s="24">
        <f t="shared" si="0"/>
        <v>15593.234248521097</v>
      </c>
      <c r="F4" s="24">
        <f t="shared" si="1"/>
        <v>38504</v>
      </c>
      <c r="G4" s="24">
        <v>15593.234248521097</v>
      </c>
      <c r="H4" s="24">
        <v>38504</v>
      </c>
      <c r="I4" s="24">
        <v>11567.117731088334</v>
      </c>
      <c r="J4" s="24">
        <v>0</v>
      </c>
      <c r="K4" s="95">
        <v>0.76553801141404232</v>
      </c>
      <c r="L4" s="95">
        <v>0</v>
      </c>
      <c r="M4" s="95">
        <v>3.7098653101709123E-2</v>
      </c>
      <c r="N4" s="95">
        <v>0</v>
      </c>
      <c r="O4" s="95">
        <v>0.1973633354842485</v>
      </c>
      <c r="P4" s="95">
        <v>0</v>
      </c>
      <c r="Q4" s="95">
        <v>1</v>
      </c>
      <c r="R4" s="95">
        <v>1</v>
      </c>
      <c r="T4" s="18"/>
    </row>
    <row r="5" spans="2:26">
      <c r="B5" s="10" t="s">
        <v>226</v>
      </c>
      <c r="C5" s="93">
        <v>1</v>
      </c>
      <c r="D5" s="10" t="s">
        <v>46</v>
      </c>
      <c r="E5" s="24">
        <f t="shared" si="0"/>
        <v>16699.184530945935</v>
      </c>
      <c r="F5" s="24">
        <f t="shared" si="1"/>
        <v>78748</v>
      </c>
      <c r="G5" s="24">
        <v>16699.184530945935</v>
      </c>
      <c r="H5" s="24">
        <v>78748</v>
      </c>
      <c r="I5" s="24">
        <v>2341.5294186775259</v>
      </c>
      <c r="J5" s="24">
        <v>0</v>
      </c>
      <c r="K5" s="95">
        <v>0.89826670951278964</v>
      </c>
      <c r="L5" s="95">
        <v>0</v>
      </c>
      <c r="M5" s="95">
        <v>1.3733287462722026E-2</v>
      </c>
      <c r="N5" s="95">
        <v>0</v>
      </c>
      <c r="O5" s="95">
        <v>8.8000003024488266E-2</v>
      </c>
      <c r="P5" s="95">
        <v>0</v>
      </c>
      <c r="Q5" s="95">
        <v>1</v>
      </c>
      <c r="R5" s="95">
        <v>1</v>
      </c>
      <c r="T5" s="18"/>
    </row>
    <row r="6" spans="2:26">
      <c r="B6" s="10" t="s">
        <v>233</v>
      </c>
      <c r="C6" s="93">
        <v>1</v>
      </c>
      <c r="D6" s="10" t="s">
        <v>46</v>
      </c>
      <c r="E6" s="24">
        <f t="shared" si="0"/>
        <v>6530.8300955972272</v>
      </c>
      <c r="F6" s="24">
        <f t="shared" si="1"/>
        <v>26853</v>
      </c>
      <c r="G6" s="24">
        <v>6530.8300955972272</v>
      </c>
      <c r="H6" s="24">
        <v>26853</v>
      </c>
      <c r="I6" s="24">
        <v>1898.1362261764762</v>
      </c>
      <c r="J6" s="24">
        <v>0</v>
      </c>
      <c r="K6" s="95">
        <v>0.83063771627877925</v>
      </c>
      <c r="L6" s="95">
        <v>0</v>
      </c>
      <c r="M6" s="95">
        <v>2.5507107903683972E-2</v>
      </c>
      <c r="N6" s="95">
        <v>0</v>
      </c>
      <c r="O6" s="95">
        <v>0.14385517581753671</v>
      </c>
      <c r="P6" s="95">
        <v>0</v>
      </c>
      <c r="Q6" s="95">
        <v>1</v>
      </c>
      <c r="R6" s="95">
        <v>1</v>
      </c>
      <c r="T6" s="18"/>
    </row>
    <row r="7" spans="2:26">
      <c r="B7" s="10" t="s">
        <v>273</v>
      </c>
      <c r="C7" s="93">
        <v>1</v>
      </c>
      <c r="D7" s="10" t="s">
        <v>46</v>
      </c>
      <c r="E7" s="24">
        <f t="shared" si="0"/>
        <v>1168.8080732802523</v>
      </c>
      <c r="F7" s="24">
        <f t="shared" si="1"/>
        <v>5139.1481726418133</v>
      </c>
      <c r="G7" s="24">
        <v>1168.8080732802523</v>
      </c>
      <c r="H7" s="24">
        <v>5139.1481726418133</v>
      </c>
      <c r="I7" s="24">
        <v>357.86600825427081</v>
      </c>
      <c r="J7" s="24">
        <v>0</v>
      </c>
      <c r="K7" s="95">
        <v>0.79937679307217246</v>
      </c>
      <c r="L7" s="95">
        <v>0</v>
      </c>
      <c r="M7" s="95">
        <v>2.6820108464888585E-2</v>
      </c>
      <c r="N7" s="95">
        <v>0</v>
      </c>
      <c r="O7" s="95">
        <v>0.17380309846293901</v>
      </c>
      <c r="P7" s="95">
        <v>0</v>
      </c>
      <c r="Q7" s="95">
        <v>1</v>
      </c>
      <c r="R7" s="95">
        <v>1</v>
      </c>
      <c r="T7" s="18"/>
    </row>
    <row r="8" spans="2:26">
      <c r="B8" s="10" t="s">
        <v>252</v>
      </c>
      <c r="C8" s="93">
        <v>1</v>
      </c>
      <c r="D8" s="10" t="s">
        <v>46</v>
      </c>
      <c r="E8" s="24">
        <f t="shared" si="0"/>
        <v>88590.648133209412</v>
      </c>
      <c r="F8" s="24">
        <f t="shared" si="1"/>
        <v>455933.89077637909</v>
      </c>
      <c r="G8" s="110">
        <v>88590.648133209412</v>
      </c>
      <c r="H8" s="111">
        <v>455933.89077637909</v>
      </c>
      <c r="I8" s="53">
        <v>46007.835447530902</v>
      </c>
      <c r="J8" s="24">
        <v>0</v>
      </c>
      <c r="K8" s="95">
        <v>0.74117257346092913</v>
      </c>
      <c r="L8" s="95">
        <v>0</v>
      </c>
      <c r="M8" s="95">
        <v>3.6030915533194069E-2</v>
      </c>
      <c r="N8" s="95">
        <v>0</v>
      </c>
      <c r="O8" s="95">
        <v>0.22279651100587683</v>
      </c>
      <c r="P8" s="95">
        <v>0</v>
      </c>
      <c r="Q8" s="95">
        <v>1</v>
      </c>
      <c r="R8" s="95">
        <v>1</v>
      </c>
      <c r="T8" s="18"/>
    </row>
    <row r="9" spans="2:26">
      <c r="B9" s="10" t="s">
        <v>258</v>
      </c>
      <c r="C9" s="93">
        <v>1</v>
      </c>
      <c r="D9" s="10" t="s">
        <v>46</v>
      </c>
      <c r="E9" s="24">
        <f t="shared" si="0"/>
        <v>27551.841457915074</v>
      </c>
      <c r="F9" s="24">
        <f t="shared" si="1"/>
        <v>98944.942435995035</v>
      </c>
      <c r="G9" s="24">
        <v>27551.841457915074</v>
      </c>
      <c r="H9" s="24">
        <v>98944.942435995035</v>
      </c>
      <c r="I9" s="24">
        <v>10236.498978127558</v>
      </c>
      <c r="J9" s="24">
        <v>0</v>
      </c>
      <c r="K9" s="95">
        <v>0.77015551087102097</v>
      </c>
      <c r="L9" s="95">
        <v>0</v>
      </c>
      <c r="M9" s="95">
        <v>3.1666445277581431E-2</v>
      </c>
      <c r="N9" s="95">
        <v>0</v>
      </c>
      <c r="O9" s="95">
        <v>0.19817804385139767</v>
      </c>
      <c r="P9" s="95">
        <v>0</v>
      </c>
      <c r="Q9" s="95">
        <v>1</v>
      </c>
      <c r="R9" s="95">
        <v>1</v>
      </c>
      <c r="S9" s="104"/>
      <c r="T9" s="106"/>
      <c r="W9" s="89"/>
      <c r="X9" s="88"/>
      <c r="Y9" s="89"/>
      <c r="Z9" s="90"/>
    </row>
    <row r="10" spans="2:26">
      <c r="B10" s="10" t="s">
        <v>261</v>
      </c>
      <c r="C10" s="93">
        <v>1</v>
      </c>
      <c r="D10" s="10" t="s">
        <v>46</v>
      </c>
      <c r="E10" s="24">
        <f t="shared" si="0"/>
        <v>1098.2921304476056</v>
      </c>
      <c r="F10" s="24">
        <f t="shared" si="1"/>
        <v>5057.598469482391</v>
      </c>
      <c r="G10" s="24">
        <v>1098.2921304476056</v>
      </c>
      <c r="H10" s="24">
        <v>5057.598469482391</v>
      </c>
      <c r="I10" s="24">
        <v>380.76064021541822</v>
      </c>
      <c r="J10" s="24">
        <v>0</v>
      </c>
      <c r="K10" s="95">
        <v>0.51710802892302732</v>
      </c>
      <c r="L10" s="95">
        <v>0</v>
      </c>
      <c r="M10" s="95">
        <v>8.3046559960212596E-2</v>
      </c>
      <c r="N10" s="95">
        <v>0</v>
      </c>
      <c r="O10" s="95">
        <v>0.3998454111167602</v>
      </c>
      <c r="P10" s="95">
        <v>0</v>
      </c>
      <c r="Q10" s="95">
        <v>1</v>
      </c>
      <c r="R10" s="95">
        <v>1</v>
      </c>
      <c r="T10" s="18"/>
    </row>
    <row r="11" spans="2:26">
      <c r="B11" s="10" t="s">
        <v>264</v>
      </c>
      <c r="C11" s="93">
        <v>1</v>
      </c>
      <c r="D11" s="10" t="s">
        <v>46</v>
      </c>
      <c r="E11" s="24">
        <f t="shared" si="0"/>
        <v>12433.387479401148</v>
      </c>
      <c r="F11" s="24">
        <f t="shared" si="1"/>
        <v>55504.011829778123</v>
      </c>
      <c r="G11" s="24">
        <v>12433.387479401148</v>
      </c>
      <c r="H11" s="24">
        <v>55504.011829778123</v>
      </c>
      <c r="I11" s="24">
        <v>1681.0228340255971</v>
      </c>
      <c r="J11" s="24">
        <v>0</v>
      </c>
      <c r="K11" s="95">
        <v>0.80057425726675724</v>
      </c>
      <c r="L11" s="95">
        <v>0</v>
      </c>
      <c r="M11" s="95">
        <v>2.7635480662177997E-2</v>
      </c>
      <c r="N11" s="95">
        <v>0</v>
      </c>
      <c r="O11" s="95">
        <v>0.17179026207106479</v>
      </c>
      <c r="P11" s="95">
        <v>0</v>
      </c>
      <c r="Q11" s="95">
        <v>1</v>
      </c>
      <c r="R11" s="95">
        <v>1</v>
      </c>
      <c r="T11" s="18"/>
    </row>
    <row r="12" spans="2:26">
      <c r="B12" s="10" t="s">
        <v>244</v>
      </c>
      <c r="C12" s="93">
        <v>1</v>
      </c>
      <c r="D12" s="10" t="s">
        <v>46</v>
      </c>
      <c r="E12" s="24">
        <f t="shared" si="0"/>
        <v>7259.8446393940221</v>
      </c>
      <c r="F12" s="24">
        <f t="shared" si="1"/>
        <v>39073.190421372594</v>
      </c>
      <c r="G12" s="24">
        <v>7259.8446393940221</v>
      </c>
      <c r="H12" s="24">
        <v>39073.190421372594</v>
      </c>
      <c r="I12" s="24">
        <v>836.95481446751785</v>
      </c>
      <c r="J12" s="24">
        <v>0</v>
      </c>
      <c r="K12" s="95">
        <v>0.63425498544586734</v>
      </c>
      <c r="L12" s="95">
        <v>0</v>
      </c>
      <c r="M12" s="95">
        <v>6.3908770996672817E-2</v>
      </c>
      <c r="N12" s="95">
        <v>0</v>
      </c>
      <c r="O12" s="95">
        <v>0.3018362435574598</v>
      </c>
      <c r="P12" s="95">
        <v>0</v>
      </c>
      <c r="Q12" s="95">
        <v>1</v>
      </c>
      <c r="R12" s="95">
        <v>1</v>
      </c>
      <c r="T12" s="18"/>
    </row>
    <row r="13" spans="2:26">
      <c r="B13" s="10" t="s">
        <v>266</v>
      </c>
      <c r="C13" s="93">
        <v>1</v>
      </c>
      <c r="D13" s="10" t="s">
        <v>46</v>
      </c>
      <c r="E13" s="24">
        <f t="shared" si="0"/>
        <v>3321.3644224517166</v>
      </c>
      <c r="F13" s="24">
        <f t="shared" si="1"/>
        <v>12291.324607555267</v>
      </c>
      <c r="G13" s="24">
        <v>3321.3644224517166</v>
      </c>
      <c r="H13" s="24">
        <v>12291.324607555267</v>
      </c>
      <c r="I13" s="24">
        <v>1284.5229919387825</v>
      </c>
      <c r="J13" s="24">
        <v>0</v>
      </c>
      <c r="K13" s="95">
        <v>0.81551556521484969</v>
      </c>
      <c r="L13" s="95">
        <v>0</v>
      </c>
      <c r="M13" s="95">
        <v>2.330236396359469E-2</v>
      </c>
      <c r="N13" s="95">
        <v>0</v>
      </c>
      <c r="O13" s="95">
        <v>0.16118207082155558</v>
      </c>
      <c r="P13" s="95">
        <v>0</v>
      </c>
      <c r="Q13" s="95">
        <v>1</v>
      </c>
      <c r="R13" s="95">
        <v>1</v>
      </c>
      <c r="T13" s="18"/>
    </row>
    <row r="14" spans="2:26">
      <c r="B14" s="10" t="s">
        <v>473</v>
      </c>
      <c r="C14" s="93">
        <v>1</v>
      </c>
      <c r="D14" s="10" t="s">
        <v>46</v>
      </c>
      <c r="E14" s="24">
        <f t="shared" si="0"/>
        <v>7404.7432346607256</v>
      </c>
      <c r="F14" s="24">
        <f t="shared" si="1"/>
        <v>30000</v>
      </c>
      <c r="G14" s="24">
        <v>7404.7432346607256</v>
      </c>
      <c r="H14" s="24">
        <v>30000</v>
      </c>
      <c r="I14" s="24">
        <v>726.93448845932699</v>
      </c>
      <c r="J14" s="24">
        <v>0</v>
      </c>
      <c r="K14" s="95">
        <v>0.86595186333098695</v>
      </c>
      <c r="L14" s="95">
        <v>0</v>
      </c>
      <c r="M14" s="95">
        <v>1.7493723842737154E-2</v>
      </c>
      <c r="N14" s="95">
        <v>0</v>
      </c>
      <c r="O14" s="95">
        <v>0.11655441282627585</v>
      </c>
      <c r="P14" s="95">
        <v>0</v>
      </c>
      <c r="Q14" s="95">
        <v>1</v>
      </c>
      <c r="R14" s="95">
        <v>1</v>
      </c>
      <c r="T14" s="18"/>
    </row>
    <row r="15" spans="2:26">
      <c r="B15" s="10" t="s">
        <v>474</v>
      </c>
      <c r="C15" s="93">
        <v>1</v>
      </c>
      <c r="D15" s="10" t="s">
        <v>46</v>
      </c>
      <c r="E15" s="24">
        <f t="shared" si="0"/>
        <v>234.04672812541725</v>
      </c>
      <c r="F15" s="24">
        <f t="shared" si="1"/>
        <v>500</v>
      </c>
      <c r="G15" s="24">
        <v>234.04672812541725</v>
      </c>
      <c r="H15" s="24">
        <v>500</v>
      </c>
      <c r="I15" s="24">
        <v>132.27218292158295</v>
      </c>
      <c r="J15" s="24">
        <v>0</v>
      </c>
      <c r="K15" s="95">
        <v>0.51080199783362601</v>
      </c>
      <c r="L15" s="95">
        <v>0</v>
      </c>
      <c r="M15" s="95">
        <v>7.2543912173388098E-2</v>
      </c>
      <c r="N15" s="95">
        <v>0</v>
      </c>
      <c r="O15" s="95">
        <v>0.41665408999298592</v>
      </c>
      <c r="P15" s="95">
        <v>0</v>
      </c>
      <c r="Q15" s="95">
        <v>1</v>
      </c>
      <c r="R15" s="95">
        <v>1</v>
      </c>
      <c r="T15" s="18"/>
    </row>
    <row r="16" spans="2:26">
      <c r="B16" s="10" t="s">
        <v>475</v>
      </c>
      <c r="C16" s="93">
        <v>1</v>
      </c>
      <c r="D16" s="10" t="s">
        <v>46</v>
      </c>
      <c r="E16" s="24">
        <f t="shared" si="0"/>
        <v>20630.056494836666</v>
      </c>
      <c r="F16" s="24">
        <f t="shared" si="1"/>
        <v>5000</v>
      </c>
      <c r="G16" s="24">
        <v>20630.056494836666</v>
      </c>
      <c r="H16" s="24">
        <v>5000</v>
      </c>
      <c r="I16" s="24">
        <v>2921.4913025508417</v>
      </c>
      <c r="J16" s="24">
        <v>0</v>
      </c>
      <c r="K16" s="95">
        <v>0.89075286974609946</v>
      </c>
      <c r="L16" s="95">
        <v>0</v>
      </c>
      <c r="M16" s="95">
        <v>1.4122013994161332E-2</v>
      </c>
      <c r="N16" s="95">
        <v>0</v>
      </c>
      <c r="O16" s="95">
        <v>9.5125116259739212E-2</v>
      </c>
      <c r="P16" s="95">
        <v>0</v>
      </c>
      <c r="Q16" s="95">
        <v>1</v>
      </c>
      <c r="R16" s="95">
        <v>1</v>
      </c>
      <c r="T16" s="18"/>
    </row>
    <row r="17" spans="2:22">
      <c r="B17" s="10" t="s">
        <v>275</v>
      </c>
      <c r="C17" s="93">
        <v>1</v>
      </c>
      <c r="D17" s="10" t="s">
        <v>46</v>
      </c>
      <c r="E17" s="24">
        <f t="shared" si="0"/>
        <v>8287.9224528282757</v>
      </c>
      <c r="F17" s="24">
        <f t="shared" si="1"/>
        <v>31086.205964303354</v>
      </c>
      <c r="G17" s="24">
        <v>8287.9224528282757</v>
      </c>
      <c r="H17" s="24">
        <v>31086.205964303354</v>
      </c>
      <c r="I17" s="24">
        <v>2600.8445960730555</v>
      </c>
      <c r="J17" s="24">
        <v>0</v>
      </c>
      <c r="K17" s="95">
        <v>0.63213492219829914</v>
      </c>
      <c r="L17" s="95">
        <v>0</v>
      </c>
      <c r="M17" s="95">
        <v>6.2951072448364911E-2</v>
      </c>
      <c r="N17" s="95">
        <v>0</v>
      </c>
      <c r="O17" s="95">
        <v>0.30491400535333602</v>
      </c>
      <c r="P17" s="95">
        <v>0</v>
      </c>
      <c r="Q17" s="95">
        <v>1</v>
      </c>
      <c r="R17" s="95">
        <v>1</v>
      </c>
      <c r="T17" s="18"/>
    </row>
    <row r="18" spans="2:22">
      <c r="B18" s="10" t="s">
        <v>277</v>
      </c>
      <c r="C18" s="93">
        <v>1</v>
      </c>
      <c r="D18" s="10" t="s">
        <v>46</v>
      </c>
      <c r="E18" s="24">
        <f t="shared" si="0"/>
        <v>24970.565048702607</v>
      </c>
      <c r="F18" s="24">
        <f t="shared" si="1"/>
        <v>84899.077264538064</v>
      </c>
      <c r="G18" s="24">
        <v>24970.565048702607</v>
      </c>
      <c r="H18" s="24">
        <v>84899.077264538064</v>
      </c>
      <c r="I18" s="24">
        <v>10415.698645624312</v>
      </c>
      <c r="J18" s="24">
        <v>0</v>
      </c>
      <c r="K18" s="95">
        <v>0.78642107549461004</v>
      </c>
      <c r="L18" s="95">
        <v>0</v>
      </c>
      <c r="M18" s="95">
        <v>2.7780058981603583E-2</v>
      </c>
      <c r="N18" s="95">
        <v>0</v>
      </c>
      <c r="O18" s="95">
        <v>0.18579886552378636</v>
      </c>
      <c r="P18" s="95">
        <v>0</v>
      </c>
      <c r="Q18" s="95">
        <v>1</v>
      </c>
      <c r="R18" s="95">
        <v>1</v>
      </c>
      <c r="T18" s="18"/>
    </row>
    <row r="19" spans="2:22">
      <c r="B19" s="10" t="s">
        <v>279</v>
      </c>
      <c r="C19" s="93">
        <v>1</v>
      </c>
      <c r="D19" s="10" t="s">
        <v>46</v>
      </c>
      <c r="E19" s="24">
        <f t="shared" si="0"/>
        <v>14404.732462390384</v>
      </c>
      <c r="F19" s="24">
        <f t="shared" si="1"/>
        <v>0</v>
      </c>
      <c r="G19" s="24">
        <v>14404.732462390384</v>
      </c>
      <c r="H19" s="24">
        <v>0</v>
      </c>
      <c r="I19" s="24">
        <v>7202.8460575307054</v>
      </c>
      <c r="J19" s="24">
        <v>0</v>
      </c>
      <c r="K19" s="95">
        <v>0.88731834418378064</v>
      </c>
      <c r="L19" s="95">
        <v>0</v>
      </c>
      <c r="M19" s="95">
        <v>1.4518871637191818E-2</v>
      </c>
      <c r="N19" s="95">
        <v>0</v>
      </c>
      <c r="O19" s="95">
        <v>9.8162784179027546E-2</v>
      </c>
      <c r="P19" s="95">
        <v>0</v>
      </c>
      <c r="Q19" s="95">
        <v>1</v>
      </c>
      <c r="R19" s="95">
        <v>1</v>
      </c>
      <c r="S19" s="104"/>
      <c r="T19" s="105"/>
      <c r="U19" s="92"/>
      <c r="V19" s="92"/>
    </row>
    <row r="20" spans="2:22">
      <c r="B20" s="10" t="s">
        <v>278</v>
      </c>
      <c r="C20" s="93">
        <v>1</v>
      </c>
      <c r="D20" s="10" t="s">
        <v>47</v>
      </c>
      <c r="E20" s="24">
        <f t="shared" si="0"/>
        <v>7675.616998624896</v>
      </c>
      <c r="F20" s="24">
        <f t="shared" si="1"/>
        <v>22499</v>
      </c>
      <c r="G20" s="24">
        <v>7675.616998624896</v>
      </c>
      <c r="H20" s="24">
        <v>22499</v>
      </c>
      <c r="I20" s="24">
        <v>2265.1095458956006</v>
      </c>
      <c r="J20" s="24">
        <v>0</v>
      </c>
      <c r="K20" s="95">
        <v>0.60761350771720113</v>
      </c>
      <c r="L20" s="95">
        <v>0</v>
      </c>
      <c r="M20" s="95">
        <v>5.1954001514174508E-2</v>
      </c>
      <c r="N20" s="95">
        <v>0</v>
      </c>
      <c r="O20" s="95">
        <v>0.34043249076862436</v>
      </c>
      <c r="P20" s="95">
        <v>0</v>
      </c>
      <c r="Q20" s="95">
        <v>1</v>
      </c>
      <c r="R20" s="95">
        <v>1</v>
      </c>
    </row>
    <row r="21" spans="2:22">
      <c r="B21" s="10" t="s">
        <v>472</v>
      </c>
      <c r="C21" s="93">
        <v>1</v>
      </c>
      <c r="D21" s="10" t="s">
        <v>47</v>
      </c>
      <c r="E21" s="24">
        <f t="shared" si="0"/>
        <v>17493.651321441706</v>
      </c>
      <c r="F21" s="24">
        <f t="shared" si="1"/>
        <v>35601</v>
      </c>
      <c r="G21" s="24">
        <v>17493.651321441706</v>
      </c>
      <c r="H21" s="24">
        <v>35601</v>
      </c>
      <c r="I21" s="24">
        <v>14327.145397866267</v>
      </c>
      <c r="J21" s="24">
        <v>0</v>
      </c>
      <c r="K21" s="95">
        <v>0.72828769985268715</v>
      </c>
      <c r="L21" s="95">
        <v>0</v>
      </c>
      <c r="M21" s="95">
        <v>3.568476500323637E-2</v>
      </c>
      <c r="N21" s="95">
        <v>0</v>
      </c>
      <c r="O21" s="95">
        <v>0.23602753514407646</v>
      </c>
      <c r="P21" s="95">
        <v>0</v>
      </c>
      <c r="Q21" s="95">
        <v>1</v>
      </c>
      <c r="R21" s="95">
        <v>1</v>
      </c>
    </row>
    <row r="22" spans="2:22">
      <c r="B22" s="10" t="s">
        <v>293</v>
      </c>
      <c r="C22" s="93">
        <v>1</v>
      </c>
      <c r="D22" s="10" t="s">
        <v>47</v>
      </c>
      <c r="E22" s="24">
        <f t="shared" si="0"/>
        <v>71543.605489090449</v>
      </c>
      <c r="F22" s="24">
        <f t="shared" si="1"/>
        <v>294575</v>
      </c>
      <c r="G22" s="24">
        <v>71543.605489090449</v>
      </c>
      <c r="H22" s="24">
        <v>294575</v>
      </c>
      <c r="I22" s="24">
        <v>17035.253351083371</v>
      </c>
      <c r="J22" s="24">
        <v>0</v>
      </c>
      <c r="K22" s="95">
        <v>0.85822652520258358</v>
      </c>
      <c r="L22" s="95">
        <v>0</v>
      </c>
      <c r="M22" s="95">
        <v>1.8414087186215813E-2</v>
      </c>
      <c r="N22" s="95">
        <v>0</v>
      </c>
      <c r="O22" s="95">
        <v>0.12335938761120058</v>
      </c>
      <c r="P22" s="95">
        <v>0</v>
      </c>
      <c r="Q22" s="95">
        <v>1</v>
      </c>
      <c r="R22" s="95">
        <v>1</v>
      </c>
    </row>
    <row r="23" spans="2:22">
      <c r="B23" s="10" t="s">
        <v>211</v>
      </c>
      <c r="C23" s="93">
        <v>1</v>
      </c>
      <c r="D23" s="10" t="s">
        <v>47</v>
      </c>
      <c r="E23" s="24">
        <f t="shared" si="0"/>
        <v>21383.365922566503</v>
      </c>
      <c r="F23" s="24">
        <f t="shared" si="1"/>
        <v>56814</v>
      </c>
      <c r="G23" s="24">
        <v>21383.365922566503</v>
      </c>
      <c r="H23" s="24">
        <v>56814</v>
      </c>
      <c r="I23" s="24">
        <v>15823.89248945434</v>
      </c>
      <c r="J23" s="24">
        <v>0</v>
      </c>
      <c r="K23" s="95">
        <v>0.57322408413682446</v>
      </c>
      <c r="L23" s="95">
        <v>0</v>
      </c>
      <c r="M23" s="95">
        <v>7.0987229782437822E-2</v>
      </c>
      <c r="N23" s="95">
        <v>0</v>
      </c>
      <c r="O23" s="95">
        <v>0.35578868608073777</v>
      </c>
      <c r="P23" s="95">
        <v>0</v>
      </c>
      <c r="Q23" s="95">
        <v>1</v>
      </c>
      <c r="R23" s="95">
        <v>1</v>
      </c>
    </row>
    <row r="24" spans="2:22">
      <c r="B24" s="10" t="s">
        <v>245</v>
      </c>
      <c r="C24" s="93">
        <v>1</v>
      </c>
      <c r="D24" s="10" t="s">
        <v>47</v>
      </c>
      <c r="E24" s="24">
        <f t="shared" si="0"/>
        <v>262384.48937901249</v>
      </c>
      <c r="F24" s="24">
        <f t="shared" si="1"/>
        <v>1120986</v>
      </c>
      <c r="G24" s="24">
        <v>262384.48937901249</v>
      </c>
      <c r="H24" s="24">
        <v>1120986</v>
      </c>
      <c r="I24" s="24">
        <v>30196.792641370248</v>
      </c>
      <c r="J24" s="24">
        <v>0</v>
      </c>
      <c r="K24" s="95">
        <v>0.60619105725252309</v>
      </c>
      <c r="L24" s="95">
        <v>0</v>
      </c>
      <c r="M24" s="95">
        <v>5.4068812119559544E-2</v>
      </c>
      <c r="N24" s="95">
        <v>0</v>
      </c>
      <c r="O24" s="95">
        <v>0.33974013062791736</v>
      </c>
      <c r="P24" s="95">
        <v>0</v>
      </c>
      <c r="Q24" s="95">
        <v>1</v>
      </c>
      <c r="R24" s="95">
        <v>1</v>
      </c>
    </row>
    <row r="25" spans="2:22">
      <c r="B25" s="10" t="s">
        <v>262</v>
      </c>
      <c r="C25" s="93">
        <v>1</v>
      </c>
      <c r="D25" s="10" t="s">
        <v>47</v>
      </c>
      <c r="E25" s="24">
        <f t="shared" si="0"/>
        <v>12849.329617810257</v>
      </c>
      <c r="F25" s="24">
        <f t="shared" si="1"/>
        <v>48319</v>
      </c>
      <c r="G25" s="24">
        <v>12849.329617810257</v>
      </c>
      <c r="H25" s="24">
        <v>48319</v>
      </c>
      <c r="I25" s="24">
        <v>4218.1925143050776</v>
      </c>
      <c r="J25" s="24">
        <v>0</v>
      </c>
      <c r="K25" s="95">
        <v>0.39052630614596212</v>
      </c>
      <c r="L25" s="95">
        <v>0</v>
      </c>
      <c r="M25" s="95">
        <v>8.852763591455938E-2</v>
      </c>
      <c r="N25" s="95">
        <v>0</v>
      </c>
      <c r="O25" s="95">
        <v>0.52094605793947846</v>
      </c>
      <c r="P25" s="95">
        <v>0</v>
      </c>
      <c r="Q25" s="95">
        <v>1</v>
      </c>
      <c r="R25" s="95">
        <v>1</v>
      </c>
    </row>
    <row r="26" spans="2:22">
      <c r="B26" s="10" t="s">
        <v>218</v>
      </c>
      <c r="C26" s="93">
        <v>1</v>
      </c>
      <c r="D26" s="10" t="s">
        <v>47</v>
      </c>
      <c r="E26" s="24">
        <f t="shared" si="0"/>
        <v>1078.7804263362709</v>
      </c>
      <c r="F26" s="24">
        <f t="shared" si="1"/>
        <v>5337</v>
      </c>
      <c r="G26" s="24">
        <v>1078.7804263362709</v>
      </c>
      <c r="H26" s="24">
        <v>5337</v>
      </c>
      <c r="I26" s="24">
        <v>655.16333685693689</v>
      </c>
      <c r="J26" s="24">
        <v>0</v>
      </c>
      <c r="K26" s="95">
        <v>0.45150879381551456</v>
      </c>
      <c r="L26" s="95">
        <v>0</v>
      </c>
      <c r="M26" s="95">
        <v>0.10550517530834459</v>
      </c>
      <c r="N26" s="95">
        <v>0</v>
      </c>
      <c r="O26" s="95">
        <v>0.4429860308761408</v>
      </c>
      <c r="P26" s="95">
        <v>0</v>
      </c>
      <c r="Q26" s="95">
        <v>1</v>
      </c>
      <c r="R26" s="95">
        <v>1</v>
      </c>
    </row>
    <row r="27" spans="2:22">
      <c r="B27" s="10" t="s">
        <v>276</v>
      </c>
      <c r="C27" s="93">
        <v>1</v>
      </c>
      <c r="D27" s="10" t="s">
        <v>47</v>
      </c>
      <c r="E27" s="24">
        <f t="shared" si="0"/>
        <v>142621.20246370122</v>
      </c>
      <c r="F27" s="24">
        <f t="shared" si="1"/>
        <v>519736</v>
      </c>
      <c r="G27" s="24">
        <v>142621.20246370122</v>
      </c>
      <c r="H27" s="24">
        <v>519736</v>
      </c>
      <c r="I27" s="24">
        <v>50651.029630411293</v>
      </c>
      <c r="J27" s="24">
        <v>0</v>
      </c>
      <c r="K27" s="95">
        <v>0.67144402276001225</v>
      </c>
      <c r="L27" s="95">
        <v>0</v>
      </c>
      <c r="M27" s="95">
        <v>4.4277154675819802E-2</v>
      </c>
      <c r="N27" s="95">
        <v>0</v>
      </c>
      <c r="O27" s="95">
        <v>0.28427882256416798</v>
      </c>
      <c r="P27" s="95">
        <v>0</v>
      </c>
      <c r="Q27" s="95">
        <v>1</v>
      </c>
      <c r="R27" s="95">
        <v>1</v>
      </c>
    </row>
    <row r="28" spans="2:22">
      <c r="B28" s="10" t="s">
        <v>253</v>
      </c>
      <c r="C28" s="93">
        <v>1</v>
      </c>
      <c r="D28" s="10" t="s">
        <v>47</v>
      </c>
      <c r="E28" s="24">
        <f t="shared" si="0"/>
        <v>3236.7376236496111</v>
      </c>
      <c r="F28" s="24">
        <f t="shared" si="1"/>
        <v>6097</v>
      </c>
      <c r="G28" s="24">
        <v>3236.7376236496111</v>
      </c>
      <c r="H28" s="24">
        <v>6097</v>
      </c>
      <c r="I28" s="24">
        <v>1496.1586940265804</v>
      </c>
      <c r="J28" s="24">
        <v>0</v>
      </c>
      <c r="K28" s="95">
        <v>0.67934887189055326</v>
      </c>
      <c r="L28" s="95">
        <v>0</v>
      </c>
      <c r="M28" s="95">
        <v>4.1783634228228311E-2</v>
      </c>
      <c r="N28" s="95">
        <v>0</v>
      </c>
      <c r="O28" s="95">
        <v>0.27886749388121845</v>
      </c>
      <c r="P28" s="95">
        <v>0</v>
      </c>
      <c r="Q28" s="95">
        <v>1</v>
      </c>
      <c r="R28" s="95">
        <v>1</v>
      </c>
    </row>
    <row r="29" spans="2:22">
      <c r="B29" s="10" t="s">
        <v>718</v>
      </c>
      <c r="C29" s="93">
        <v>1</v>
      </c>
      <c r="D29" s="10" t="s">
        <v>47</v>
      </c>
      <c r="E29" s="24">
        <f t="shared" si="0"/>
        <v>5526.0069578680741</v>
      </c>
      <c r="F29" s="24">
        <f t="shared" si="1"/>
        <v>2000</v>
      </c>
      <c r="G29" s="24">
        <v>5526.0069578680741</v>
      </c>
      <c r="H29" s="24">
        <v>2000</v>
      </c>
      <c r="I29" s="24">
        <v>4406.7469079847606</v>
      </c>
      <c r="J29" s="24">
        <v>0</v>
      </c>
      <c r="K29" s="95">
        <v>0.63693736808563084</v>
      </c>
      <c r="L29" s="95">
        <v>0</v>
      </c>
      <c r="M29" s="95">
        <v>5.6096089657219586E-2</v>
      </c>
      <c r="N29" s="95">
        <v>0</v>
      </c>
      <c r="O29" s="95">
        <v>0.30696654225714953</v>
      </c>
      <c r="P29" s="95">
        <v>0</v>
      </c>
      <c r="Q29" s="95">
        <v>1</v>
      </c>
      <c r="R29" s="95">
        <v>1</v>
      </c>
    </row>
    <row r="30" spans="2:22">
      <c r="B30" s="10" t="s">
        <v>267</v>
      </c>
      <c r="C30" s="93">
        <v>1</v>
      </c>
      <c r="D30" s="10" t="s">
        <v>47</v>
      </c>
      <c r="E30" s="24">
        <f t="shared" si="0"/>
        <v>216455.95387968147</v>
      </c>
      <c r="F30" s="24">
        <f t="shared" si="1"/>
        <v>651442.38373344857</v>
      </c>
      <c r="G30" s="24">
        <v>216455.95387968147</v>
      </c>
      <c r="H30" s="24">
        <v>651442.38373344857</v>
      </c>
      <c r="I30" s="24">
        <v>96858.853347991157</v>
      </c>
      <c r="J30" s="24">
        <v>0</v>
      </c>
      <c r="K30" s="95">
        <v>0.67843144138428435</v>
      </c>
      <c r="L30" s="95">
        <v>0</v>
      </c>
      <c r="M30" s="95">
        <v>4.2982214929747735E-2</v>
      </c>
      <c r="N30" s="95">
        <v>0</v>
      </c>
      <c r="O30" s="95">
        <v>0.27858634368596791</v>
      </c>
      <c r="P30" s="95">
        <v>0</v>
      </c>
      <c r="Q30" s="95">
        <v>1</v>
      </c>
      <c r="R30" s="95">
        <v>1</v>
      </c>
    </row>
    <row r="31" spans="2:22">
      <c r="B31" s="10" t="s">
        <v>227</v>
      </c>
      <c r="C31" s="93">
        <v>1</v>
      </c>
      <c r="D31" s="10" t="s">
        <v>47</v>
      </c>
      <c r="E31" s="24">
        <f t="shared" si="0"/>
        <v>12707.282952676072</v>
      </c>
      <c r="F31" s="24">
        <f t="shared" si="1"/>
        <v>22601.273228763559</v>
      </c>
      <c r="G31" s="24">
        <v>12707.282952676072</v>
      </c>
      <c r="H31" s="24">
        <v>22601.273228763559</v>
      </c>
      <c r="I31" s="24">
        <v>11815.838402222855</v>
      </c>
      <c r="J31" s="24">
        <v>0</v>
      </c>
      <c r="K31" s="95">
        <v>0.5934279377910171</v>
      </c>
      <c r="L31" s="95">
        <v>0</v>
      </c>
      <c r="M31" s="95">
        <v>5.6770259542675672E-2</v>
      </c>
      <c r="N31" s="95">
        <v>0</v>
      </c>
      <c r="O31" s="95">
        <v>0.34980180266630717</v>
      </c>
      <c r="P31" s="95">
        <v>0</v>
      </c>
      <c r="Q31" s="95">
        <v>1</v>
      </c>
      <c r="R31" s="95">
        <v>1</v>
      </c>
    </row>
    <row r="32" spans="2:22">
      <c r="B32" s="10" t="s">
        <v>234</v>
      </c>
      <c r="C32" s="93">
        <v>1</v>
      </c>
      <c r="D32" s="10" t="s">
        <v>47</v>
      </c>
      <c r="E32" s="24">
        <f t="shared" si="0"/>
        <v>20025.000414978771</v>
      </c>
      <c r="F32" s="24">
        <f t="shared" si="1"/>
        <v>52496.244934381059</v>
      </c>
      <c r="G32" s="24">
        <v>20025.000414978771</v>
      </c>
      <c r="H32" s="24">
        <v>52496.244934381059</v>
      </c>
      <c r="I32" s="24">
        <v>14580.582892518039</v>
      </c>
      <c r="J32" s="24">
        <v>0</v>
      </c>
      <c r="K32" s="95">
        <v>0.56201751423100743</v>
      </c>
      <c r="L32" s="95">
        <v>0</v>
      </c>
      <c r="M32" s="95">
        <v>6.9164452814461402E-2</v>
      </c>
      <c r="N32" s="95">
        <v>0</v>
      </c>
      <c r="O32" s="95">
        <v>0.36881803295453119</v>
      </c>
      <c r="P32" s="95">
        <v>0</v>
      </c>
      <c r="Q32" s="95">
        <v>1</v>
      </c>
      <c r="R32" s="95">
        <v>1</v>
      </c>
    </row>
    <row r="33" spans="2:18">
      <c r="B33" s="10" t="s">
        <v>280</v>
      </c>
      <c r="C33" s="93">
        <v>1</v>
      </c>
      <c r="D33" s="10" t="s">
        <v>47</v>
      </c>
      <c r="E33" s="24">
        <f t="shared" si="0"/>
        <v>59513.588286405502</v>
      </c>
      <c r="F33" s="24">
        <f t="shared" si="1"/>
        <v>216067</v>
      </c>
      <c r="G33" s="24">
        <v>59513.588286405502</v>
      </c>
      <c r="H33" s="24">
        <v>216067</v>
      </c>
      <c r="I33" s="24">
        <v>19011.000993257941</v>
      </c>
      <c r="J33" s="24">
        <v>0</v>
      </c>
      <c r="K33" s="95">
        <v>0.62699768066816308</v>
      </c>
      <c r="L33" s="95">
        <v>0</v>
      </c>
      <c r="M33" s="95">
        <v>4.8884352486414005E-2</v>
      </c>
      <c r="N33" s="95">
        <v>0</v>
      </c>
      <c r="O33" s="95">
        <v>0.32411796684542299</v>
      </c>
      <c r="P33" s="95">
        <v>0</v>
      </c>
      <c r="Q33" s="95">
        <v>1</v>
      </c>
      <c r="R33" s="95">
        <v>1</v>
      </c>
    </row>
    <row r="34" spans="2:18">
      <c r="B34" s="10" t="s">
        <v>289</v>
      </c>
      <c r="C34" s="93">
        <v>1</v>
      </c>
      <c r="D34" s="10" t="s">
        <v>47</v>
      </c>
      <c r="E34" s="24">
        <f t="shared" ref="E34:E65" si="2">IF($T$2=1,G34,I34)</f>
        <v>30798.929199747468</v>
      </c>
      <c r="F34" s="24">
        <f t="shared" ref="F34:F65" si="3">IF($T$2=1,H34,J34)</f>
        <v>83343.022270152418</v>
      </c>
      <c r="G34" s="24">
        <v>30798.929199747468</v>
      </c>
      <c r="H34" s="24">
        <v>83343.022270152418</v>
      </c>
      <c r="I34" s="24">
        <v>23545.119210321864</v>
      </c>
      <c r="J34" s="24">
        <v>0</v>
      </c>
      <c r="K34" s="95">
        <v>0.65303094717653487</v>
      </c>
      <c r="L34" s="95">
        <v>0</v>
      </c>
      <c r="M34" s="95">
        <v>4.5128807391288626E-2</v>
      </c>
      <c r="N34" s="95">
        <v>0</v>
      </c>
      <c r="O34" s="95">
        <v>0.30184024543217658</v>
      </c>
      <c r="P34" s="95">
        <v>0</v>
      </c>
      <c r="Q34" s="95">
        <v>1</v>
      </c>
      <c r="R34" s="95">
        <v>1</v>
      </c>
    </row>
    <row r="35" spans="2:18">
      <c r="B35" s="10" t="s">
        <v>284</v>
      </c>
      <c r="C35" s="93">
        <v>1</v>
      </c>
      <c r="D35" s="10" t="s">
        <v>47</v>
      </c>
      <c r="E35" s="24">
        <f t="shared" si="2"/>
        <v>156384.60954573666</v>
      </c>
      <c r="F35" s="24">
        <f t="shared" si="3"/>
        <v>386740.64805745217</v>
      </c>
      <c r="G35" s="24">
        <v>156384.60954573666</v>
      </c>
      <c r="H35" s="24">
        <v>386740.64805745217</v>
      </c>
      <c r="I35" s="24">
        <v>110070.43062760592</v>
      </c>
      <c r="J35" s="24">
        <v>0</v>
      </c>
      <c r="K35" s="95">
        <v>0.73697049443883222</v>
      </c>
      <c r="L35" s="95">
        <v>0</v>
      </c>
      <c r="M35" s="95">
        <v>3.3719133545833391E-2</v>
      </c>
      <c r="N35" s="95">
        <v>0</v>
      </c>
      <c r="O35" s="95">
        <v>0.22931037201533441</v>
      </c>
      <c r="P35" s="95">
        <v>0</v>
      </c>
      <c r="Q35" s="95">
        <v>1</v>
      </c>
      <c r="R35" s="95">
        <v>1</v>
      </c>
    </row>
    <row r="36" spans="2:18">
      <c r="B36" s="10" t="s">
        <v>283</v>
      </c>
      <c r="C36" s="93">
        <v>1</v>
      </c>
      <c r="D36" s="10" t="s">
        <v>47</v>
      </c>
      <c r="E36" s="24">
        <f t="shared" si="2"/>
        <v>195659.49413530878</v>
      </c>
      <c r="F36" s="24">
        <f t="shared" si="3"/>
        <v>479747.82496718003</v>
      </c>
      <c r="G36" s="24">
        <v>195659.49413530878</v>
      </c>
      <c r="H36" s="24">
        <v>479747.82496718003</v>
      </c>
      <c r="I36" s="24">
        <v>145692.70592213509</v>
      </c>
      <c r="J36" s="24">
        <v>0</v>
      </c>
      <c r="K36" s="95">
        <v>0.76018018595994474</v>
      </c>
      <c r="L36" s="95">
        <v>0</v>
      </c>
      <c r="M36" s="95">
        <v>3.0691247733139727E-2</v>
      </c>
      <c r="N36" s="95">
        <v>0</v>
      </c>
      <c r="O36" s="95">
        <v>0.20912856630691548</v>
      </c>
      <c r="P36" s="95">
        <v>0</v>
      </c>
      <c r="Q36" s="95">
        <v>1</v>
      </c>
      <c r="R36" s="95">
        <v>1</v>
      </c>
    </row>
    <row r="37" spans="2:18">
      <c r="B37" s="10" t="s">
        <v>287</v>
      </c>
      <c r="C37" s="93">
        <v>1</v>
      </c>
      <c r="D37" s="10" t="s">
        <v>47</v>
      </c>
      <c r="E37" s="24">
        <f t="shared" si="2"/>
        <v>90842.832097339822</v>
      </c>
      <c r="F37" s="24">
        <f t="shared" si="3"/>
        <v>417833.60216467635</v>
      </c>
      <c r="G37" s="24">
        <v>90842.832097339822</v>
      </c>
      <c r="H37" s="24">
        <v>417833.60216467635</v>
      </c>
      <c r="I37" s="24">
        <v>9682.9771822446837</v>
      </c>
      <c r="J37" s="24">
        <v>0</v>
      </c>
      <c r="K37" s="95">
        <v>0.72992198205524816</v>
      </c>
      <c r="L37" s="95">
        <v>0</v>
      </c>
      <c r="M37" s="95">
        <v>3.663014600513731E-2</v>
      </c>
      <c r="N37" s="95">
        <v>0</v>
      </c>
      <c r="O37" s="95">
        <v>0.23344787193961464</v>
      </c>
      <c r="P37" s="95">
        <v>0</v>
      </c>
      <c r="Q37" s="95">
        <v>1</v>
      </c>
      <c r="R37" s="95">
        <v>1</v>
      </c>
    </row>
    <row r="38" spans="2:18">
      <c r="B38" s="10" t="s">
        <v>288</v>
      </c>
      <c r="C38" s="93">
        <v>1</v>
      </c>
      <c r="D38" s="10" t="s">
        <v>47</v>
      </c>
      <c r="E38" s="24">
        <f t="shared" si="2"/>
        <v>2686.2155877299647</v>
      </c>
      <c r="F38" s="24">
        <f t="shared" si="3"/>
        <v>9118.5470565469404</v>
      </c>
      <c r="G38" s="24">
        <v>2686.2155877299647</v>
      </c>
      <c r="H38" s="24">
        <v>9118.5470565469404</v>
      </c>
      <c r="I38" s="24">
        <v>810.55581273828795</v>
      </c>
      <c r="J38" s="24">
        <v>0</v>
      </c>
      <c r="K38" s="95">
        <v>0.87570058672655982</v>
      </c>
      <c r="L38" s="95">
        <v>0</v>
      </c>
      <c r="M38" s="95">
        <v>1.6671776171790248E-2</v>
      </c>
      <c r="N38" s="95">
        <v>0</v>
      </c>
      <c r="O38" s="95">
        <v>0.10762763710164995</v>
      </c>
      <c r="P38" s="95">
        <v>0</v>
      </c>
      <c r="Q38" s="95">
        <v>1</v>
      </c>
      <c r="R38" s="95">
        <v>1</v>
      </c>
    </row>
    <row r="39" spans="2:18">
      <c r="B39" s="10" t="s">
        <v>285</v>
      </c>
      <c r="C39" s="93">
        <v>1</v>
      </c>
      <c r="D39" s="10" t="s">
        <v>47</v>
      </c>
      <c r="E39" s="24">
        <f t="shared" si="2"/>
        <v>2838.8444789862333</v>
      </c>
      <c r="F39" s="24">
        <f t="shared" si="3"/>
        <v>6656.3116259134622</v>
      </c>
      <c r="G39" s="24">
        <v>2838.8444789862333</v>
      </c>
      <c r="H39" s="24">
        <v>6656.3116259134622</v>
      </c>
      <c r="I39" s="24">
        <v>2475.5062420070317</v>
      </c>
      <c r="J39" s="24">
        <v>0</v>
      </c>
      <c r="K39" s="95">
        <v>0.84375553525099922</v>
      </c>
      <c r="L39" s="95">
        <v>0</v>
      </c>
      <c r="M39" s="95">
        <v>2.0346689656252862E-2</v>
      </c>
      <c r="N39" s="95">
        <v>0</v>
      </c>
      <c r="O39" s="95">
        <v>0.13589777509274803</v>
      </c>
      <c r="P39" s="95">
        <v>0</v>
      </c>
      <c r="Q39" s="95">
        <v>1</v>
      </c>
      <c r="R39" s="95">
        <v>1</v>
      </c>
    </row>
    <row r="40" spans="2:18">
      <c r="B40" s="10" t="s">
        <v>281</v>
      </c>
      <c r="C40" s="93">
        <v>1</v>
      </c>
      <c r="D40" s="10" t="s">
        <v>47</v>
      </c>
      <c r="E40" s="24">
        <f t="shared" si="2"/>
        <v>2012.6927127817846</v>
      </c>
      <c r="F40" s="24">
        <f t="shared" si="3"/>
        <v>8410.520946056844</v>
      </c>
      <c r="G40" s="24">
        <v>2012.6927127817846</v>
      </c>
      <c r="H40" s="24">
        <v>8410.520946056844</v>
      </c>
      <c r="I40" s="24">
        <v>737.52711246795764</v>
      </c>
      <c r="J40" s="24">
        <v>0</v>
      </c>
      <c r="K40" s="95">
        <v>0.43408492081219574</v>
      </c>
      <c r="L40" s="95">
        <v>0</v>
      </c>
      <c r="M40" s="95">
        <v>7.9171254238923142E-2</v>
      </c>
      <c r="N40" s="95">
        <v>0</v>
      </c>
      <c r="O40" s="95">
        <v>0.48674382494888113</v>
      </c>
      <c r="P40" s="95">
        <v>0</v>
      </c>
      <c r="Q40" s="95">
        <v>1</v>
      </c>
      <c r="R40" s="95">
        <v>1</v>
      </c>
    </row>
    <row r="41" spans="2:18">
      <c r="B41" s="10" t="s">
        <v>204</v>
      </c>
      <c r="C41" s="93">
        <v>1</v>
      </c>
      <c r="D41" s="10" t="s">
        <v>47</v>
      </c>
      <c r="E41" s="24">
        <f t="shared" si="2"/>
        <v>1708142.6524989703</v>
      </c>
      <c r="F41" s="24">
        <f t="shared" si="3"/>
        <v>5554644.1515836483</v>
      </c>
      <c r="G41" s="24">
        <v>1708142.6524989703</v>
      </c>
      <c r="H41" s="24">
        <v>5554644.1515836483</v>
      </c>
      <c r="I41" s="24">
        <v>567738.82735509449</v>
      </c>
      <c r="J41" s="24">
        <v>0</v>
      </c>
      <c r="K41" s="95">
        <v>0.71866364782400527</v>
      </c>
      <c r="L41" s="95">
        <v>0</v>
      </c>
      <c r="M41" s="95">
        <v>3.8307607555871752E-2</v>
      </c>
      <c r="N41" s="95">
        <v>0</v>
      </c>
      <c r="O41" s="95">
        <v>0.24302874462012294</v>
      </c>
      <c r="P41" s="95">
        <v>0</v>
      </c>
      <c r="Q41" s="95">
        <v>1</v>
      </c>
      <c r="R41" s="95">
        <v>1</v>
      </c>
    </row>
    <row r="42" spans="2:18">
      <c r="B42" s="10" t="s">
        <v>239</v>
      </c>
      <c r="C42" s="93">
        <v>1</v>
      </c>
      <c r="D42" s="10" t="s">
        <v>47</v>
      </c>
      <c r="E42" s="24">
        <f t="shared" si="2"/>
        <v>833.88154469418237</v>
      </c>
      <c r="F42" s="24">
        <f t="shared" si="3"/>
        <v>3189.7319428708161</v>
      </c>
      <c r="G42" s="24">
        <v>833.88154469418237</v>
      </c>
      <c r="H42" s="24">
        <v>3189.7319428708161</v>
      </c>
      <c r="I42" s="24">
        <v>151.03713046671422</v>
      </c>
      <c r="J42" s="24">
        <v>0</v>
      </c>
      <c r="K42" s="95">
        <v>0.14055524368144698</v>
      </c>
      <c r="L42" s="95">
        <v>0</v>
      </c>
      <c r="M42" s="95">
        <v>0.38320869936548191</v>
      </c>
      <c r="N42" s="95">
        <v>0</v>
      </c>
      <c r="O42" s="95">
        <v>0.47623605695307109</v>
      </c>
      <c r="P42" s="95">
        <v>0</v>
      </c>
      <c r="Q42" s="95">
        <v>1</v>
      </c>
      <c r="R42" s="95">
        <v>1</v>
      </c>
    </row>
    <row r="43" spans="2:18">
      <c r="B43" s="10" t="s">
        <v>271</v>
      </c>
      <c r="C43" s="93">
        <v>1</v>
      </c>
      <c r="D43" s="10" t="s">
        <v>47</v>
      </c>
      <c r="E43" s="24">
        <f t="shared" si="2"/>
        <v>16457.955969839379</v>
      </c>
      <c r="F43" s="24">
        <f t="shared" si="3"/>
        <v>38866.498576614147</v>
      </c>
      <c r="G43" s="24">
        <v>16457.955969839379</v>
      </c>
      <c r="H43" s="24">
        <v>38866.498576614147</v>
      </c>
      <c r="I43" s="24">
        <v>12799.059188003681</v>
      </c>
      <c r="J43" s="24">
        <v>0</v>
      </c>
      <c r="K43" s="95">
        <v>0.68004038041375303</v>
      </c>
      <c r="L43" s="95">
        <v>0</v>
      </c>
      <c r="M43" s="95">
        <v>4.1309466321789494E-2</v>
      </c>
      <c r="N43" s="95">
        <v>0</v>
      </c>
      <c r="O43" s="95">
        <v>0.27865015326445747</v>
      </c>
      <c r="P43" s="95">
        <v>0</v>
      </c>
      <c r="Q43" s="95">
        <v>1</v>
      </c>
      <c r="R43" s="95">
        <v>1</v>
      </c>
    </row>
    <row r="44" spans="2:18">
      <c r="B44" s="10" t="s">
        <v>248</v>
      </c>
      <c r="C44" s="93">
        <v>1</v>
      </c>
      <c r="D44" s="10" t="s">
        <v>47</v>
      </c>
      <c r="E44" s="24">
        <f t="shared" si="2"/>
        <v>19931.335385101665</v>
      </c>
      <c r="F44" s="24">
        <f t="shared" si="3"/>
        <v>71592.31942256882</v>
      </c>
      <c r="G44" s="24">
        <v>19931.335385101665</v>
      </c>
      <c r="H44" s="24">
        <v>71592.31942256882</v>
      </c>
      <c r="I44" s="24">
        <v>10459.007444134309</v>
      </c>
      <c r="J44" s="24">
        <v>0</v>
      </c>
      <c r="K44" s="95">
        <v>0.66543592706868437</v>
      </c>
      <c r="L44" s="95">
        <v>0</v>
      </c>
      <c r="M44" s="95">
        <v>4.4731411626808645E-2</v>
      </c>
      <c r="N44" s="95">
        <v>0</v>
      </c>
      <c r="O44" s="95">
        <v>0.28983266130450697</v>
      </c>
      <c r="P44" s="95">
        <v>0</v>
      </c>
      <c r="Q44" s="95">
        <v>1</v>
      </c>
      <c r="R44" s="95">
        <v>1</v>
      </c>
    </row>
    <row r="45" spans="2:18">
      <c r="B45" s="10" t="s">
        <v>290</v>
      </c>
      <c r="C45" s="93">
        <v>1</v>
      </c>
      <c r="D45" s="10" t="s">
        <v>47</v>
      </c>
      <c r="E45" s="24">
        <f t="shared" si="2"/>
        <v>53033.800267883693</v>
      </c>
      <c r="F45" s="24">
        <f t="shared" si="3"/>
        <v>98880.041985823133</v>
      </c>
      <c r="G45" s="24">
        <v>53033.800267883693</v>
      </c>
      <c r="H45" s="24">
        <v>98880.041985823133</v>
      </c>
      <c r="I45" s="24">
        <v>47145.933062523894</v>
      </c>
      <c r="J45" s="24">
        <v>0</v>
      </c>
      <c r="K45" s="95">
        <v>0.74414333871161031</v>
      </c>
      <c r="L45" s="95">
        <v>0</v>
      </c>
      <c r="M45" s="95">
        <v>3.2907877853058126E-2</v>
      </c>
      <c r="N45" s="95">
        <v>0</v>
      </c>
      <c r="O45" s="95">
        <v>0.22294878343533164</v>
      </c>
      <c r="P45" s="95">
        <v>0</v>
      </c>
      <c r="Q45" s="95">
        <v>1</v>
      </c>
      <c r="R45" s="95">
        <v>1</v>
      </c>
    </row>
    <row r="46" spans="2:18">
      <c r="B46" s="10" t="s">
        <v>259</v>
      </c>
      <c r="C46" s="93">
        <v>1</v>
      </c>
      <c r="D46" s="10" t="s">
        <v>47</v>
      </c>
      <c r="E46" s="24">
        <f t="shared" si="2"/>
        <v>2355.7569089878234</v>
      </c>
      <c r="F46" s="24">
        <f t="shared" si="3"/>
        <v>5802.6364089669487</v>
      </c>
      <c r="G46" s="24">
        <v>2355.7569089878234</v>
      </c>
      <c r="H46" s="24">
        <v>5802.6364089669487</v>
      </c>
      <c r="I46" s="24">
        <v>504.07718037109896</v>
      </c>
      <c r="J46" s="24">
        <v>0</v>
      </c>
      <c r="K46" s="95">
        <v>0.81580118068257623</v>
      </c>
      <c r="L46" s="95">
        <v>0</v>
      </c>
      <c r="M46" s="95">
        <v>2.7134769750273787E-2</v>
      </c>
      <c r="N46" s="95">
        <v>0</v>
      </c>
      <c r="O46" s="95">
        <v>0.15706404956715003</v>
      </c>
      <c r="P46" s="95">
        <v>0</v>
      </c>
      <c r="Q46" s="95">
        <v>1</v>
      </c>
      <c r="R46" s="95">
        <v>1</v>
      </c>
    </row>
    <row r="47" spans="2:18">
      <c r="B47" s="10" t="s">
        <v>292</v>
      </c>
      <c r="C47" s="93">
        <v>1</v>
      </c>
      <c r="D47" s="10" t="s">
        <v>47</v>
      </c>
      <c r="E47" s="24">
        <f t="shared" si="2"/>
        <v>219600.87474465478</v>
      </c>
      <c r="F47" s="24">
        <f t="shared" si="3"/>
        <v>896681.37179708213</v>
      </c>
      <c r="G47" s="24">
        <v>219600.87474465478</v>
      </c>
      <c r="H47" s="24">
        <v>896681.37179708213</v>
      </c>
      <c r="I47" s="24">
        <v>18480.793657345006</v>
      </c>
      <c r="J47" s="24">
        <v>0</v>
      </c>
      <c r="K47" s="95">
        <v>0.82725945397069445</v>
      </c>
      <c r="L47" s="95">
        <v>0</v>
      </c>
      <c r="M47" s="95">
        <v>2.1976788814033962E-2</v>
      </c>
      <c r="N47" s="95">
        <v>0</v>
      </c>
      <c r="O47" s="95">
        <v>0.15076375721527166</v>
      </c>
      <c r="P47" s="95">
        <v>0</v>
      </c>
      <c r="Q47" s="95">
        <v>1</v>
      </c>
      <c r="R47" s="95">
        <v>1</v>
      </c>
    </row>
    <row r="48" spans="2:18">
      <c r="B48" s="10" t="s">
        <v>291</v>
      </c>
      <c r="C48" s="93">
        <v>1</v>
      </c>
      <c r="D48" s="10" t="s">
        <v>47</v>
      </c>
      <c r="E48" s="24">
        <f t="shared" si="2"/>
        <v>63425.301210414611</v>
      </c>
      <c r="F48" s="24">
        <f t="shared" si="3"/>
        <v>259440.2206671937</v>
      </c>
      <c r="G48" s="24">
        <v>63425.301210414611</v>
      </c>
      <c r="H48" s="24">
        <v>259440.2206671937</v>
      </c>
      <c r="I48" s="24">
        <v>15080.313721019264</v>
      </c>
      <c r="J48" s="24">
        <v>0</v>
      </c>
      <c r="K48" s="95">
        <v>0.68995799784193412</v>
      </c>
      <c r="L48" s="95">
        <v>0</v>
      </c>
      <c r="M48" s="95">
        <v>4.1528892428086252E-2</v>
      </c>
      <c r="N48" s="95">
        <v>0</v>
      </c>
      <c r="O48" s="95">
        <v>0.26851310972997966</v>
      </c>
      <c r="P48" s="95">
        <v>0</v>
      </c>
      <c r="Q48" s="95">
        <v>1</v>
      </c>
      <c r="R48" s="95">
        <v>1</v>
      </c>
    </row>
    <row r="49" spans="2:18">
      <c r="B49" s="10" t="s">
        <v>295</v>
      </c>
      <c r="C49" s="93">
        <v>1</v>
      </c>
      <c r="D49" s="10" t="s">
        <v>47</v>
      </c>
      <c r="E49" s="24">
        <f t="shared" si="2"/>
        <v>807.50180748261846</v>
      </c>
      <c r="F49" s="24">
        <f t="shared" si="3"/>
        <v>2562.5289314691472</v>
      </c>
      <c r="G49" s="24">
        <v>807.50180748261846</v>
      </c>
      <c r="H49" s="24">
        <v>2562.5289314691472</v>
      </c>
      <c r="I49" s="24">
        <v>495.95739792635828</v>
      </c>
      <c r="J49" s="24">
        <v>0</v>
      </c>
      <c r="K49" s="95">
        <v>0.37400022032915009</v>
      </c>
      <c r="L49" s="95">
        <v>0</v>
      </c>
      <c r="M49" s="95">
        <v>0.16254866358819939</v>
      </c>
      <c r="N49" s="95">
        <v>0</v>
      </c>
      <c r="O49" s="95">
        <v>0.46345111608265049</v>
      </c>
      <c r="P49" s="95">
        <v>0</v>
      </c>
      <c r="Q49" s="95">
        <v>1</v>
      </c>
      <c r="R49" s="95">
        <v>1</v>
      </c>
    </row>
    <row r="50" spans="2:18">
      <c r="B50" s="10" t="s">
        <v>296</v>
      </c>
      <c r="C50" s="93">
        <v>1</v>
      </c>
      <c r="D50" s="10" t="s">
        <v>47</v>
      </c>
      <c r="E50" s="24">
        <f t="shared" si="2"/>
        <v>3210.9481233508818</v>
      </c>
      <c r="F50" s="24">
        <f t="shared" si="3"/>
        <v>10517.6</v>
      </c>
      <c r="G50" s="24">
        <v>3210.9481233508818</v>
      </c>
      <c r="H50" s="24">
        <v>10517.6</v>
      </c>
      <c r="I50" s="24">
        <v>729.25113009676159</v>
      </c>
      <c r="J50" s="24">
        <v>0</v>
      </c>
      <c r="K50" s="95">
        <v>0.59740931836269751</v>
      </c>
      <c r="L50" s="95">
        <v>0</v>
      </c>
      <c r="M50" s="95">
        <v>5.4323985626009749E-2</v>
      </c>
      <c r="N50" s="95">
        <v>0</v>
      </c>
      <c r="O50" s="95">
        <v>0.34826669601129284</v>
      </c>
      <c r="P50" s="95">
        <v>0</v>
      </c>
      <c r="Q50" s="95">
        <v>1</v>
      </c>
      <c r="R50" s="95">
        <v>1</v>
      </c>
    </row>
    <row r="51" spans="2:18">
      <c r="B51" s="10" t="s">
        <v>297</v>
      </c>
      <c r="C51" s="93">
        <v>1</v>
      </c>
      <c r="D51" s="10" t="s">
        <v>47</v>
      </c>
      <c r="E51" s="24">
        <f t="shared" si="2"/>
        <v>542.56542453609859</v>
      </c>
      <c r="F51" s="24">
        <f t="shared" si="3"/>
        <v>2038.9536277272805</v>
      </c>
      <c r="G51" s="24">
        <v>542.56542453609859</v>
      </c>
      <c r="H51" s="24">
        <v>2038.9536277272805</v>
      </c>
      <c r="I51" s="24">
        <v>262.07889131488395</v>
      </c>
      <c r="J51" s="24">
        <v>0</v>
      </c>
      <c r="K51" s="95">
        <v>0.21589905395202719</v>
      </c>
      <c r="L51" s="95">
        <v>0</v>
      </c>
      <c r="M51" s="95">
        <v>0.14508082968446268</v>
      </c>
      <c r="N51" s="95">
        <v>0</v>
      </c>
      <c r="O51" s="95">
        <v>0.63902011636351019</v>
      </c>
      <c r="P51" s="95">
        <v>0</v>
      </c>
      <c r="Q51" s="95">
        <v>1</v>
      </c>
      <c r="R51" s="95">
        <v>1</v>
      </c>
    </row>
    <row r="52" spans="2:18">
      <c r="B52" s="10" t="s">
        <v>294</v>
      </c>
      <c r="C52" s="93">
        <v>1</v>
      </c>
      <c r="D52" s="10" t="s">
        <v>47</v>
      </c>
      <c r="E52" s="24">
        <f t="shared" si="2"/>
        <v>28233.069005397178</v>
      </c>
      <c r="F52" s="24">
        <f t="shared" si="3"/>
        <v>90783.639969218755</v>
      </c>
      <c r="G52" s="24">
        <v>28233.069005397178</v>
      </c>
      <c r="H52" s="24">
        <v>90783.639969218755</v>
      </c>
      <c r="I52" s="24">
        <v>9484.6840364425152</v>
      </c>
      <c r="J52" s="24">
        <v>0</v>
      </c>
      <c r="K52" s="95">
        <v>0.54476981995464813</v>
      </c>
      <c r="L52" s="95">
        <v>0</v>
      </c>
      <c r="M52" s="95">
        <v>8.0859226932409767E-2</v>
      </c>
      <c r="N52" s="95">
        <v>0</v>
      </c>
      <c r="O52" s="95">
        <v>0.37437095311294216</v>
      </c>
      <c r="P52" s="95">
        <v>0</v>
      </c>
      <c r="Q52" s="95">
        <v>1</v>
      </c>
      <c r="R52" s="95">
        <v>1</v>
      </c>
    </row>
    <row r="53" spans="2:18">
      <c r="B53" s="10" t="s">
        <v>476</v>
      </c>
      <c r="C53" s="93">
        <v>1</v>
      </c>
      <c r="D53" s="10" t="s">
        <v>47</v>
      </c>
      <c r="E53" s="24">
        <f t="shared" si="2"/>
        <v>500</v>
      </c>
      <c r="F53" s="24">
        <f t="shared" si="3"/>
        <v>3000</v>
      </c>
      <c r="G53" s="24">
        <v>500</v>
      </c>
      <c r="H53" s="24">
        <v>3000</v>
      </c>
      <c r="I53" s="24">
        <v>200</v>
      </c>
      <c r="J53" s="24">
        <v>0</v>
      </c>
      <c r="K53" s="95">
        <v>0.42499999999999999</v>
      </c>
      <c r="L53" s="95">
        <v>0</v>
      </c>
      <c r="M53" s="95">
        <v>0.05</v>
      </c>
      <c r="N53" s="95">
        <v>0</v>
      </c>
      <c r="O53" s="95">
        <v>0.52500000000000002</v>
      </c>
      <c r="P53" s="95">
        <v>0</v>
      </c>
      <c r="Q53" s="95">
        <v>1</v>
      </c>
      <c r="R53" s="95">
        <v>1</v>
      </c>
    </row>
    <row r="54" spans="2:18">
      <c r="B54" s="10" t="s">
        <v>197</v>
      </c>
      <c r="C54" s="93">
        <v>1</v>
      </c>
      <c r="D54" s="10" t="s">
        <v>47</v>
      </c>
      <c r="E54" s="24">
        <f t="shared" si="2"/>
        <v>1552606.2406971802</v>
      </c>
      <c r="F54" s="24">
        <f t="shared" si="3"/>
        <v>5554644.1515836483</v>
      </c>
      <c r="G54" s="24">
        <v>1552606.2406971802</v>
      </c>
      <c r="H54" s="24">
        <v>5554644.1515836483</v>
      </c>
      <c r="I54" s="24">
        <v>519370.64977699507</v>
      </c>
      <c r="J54" s="24">
        <v>0</v>
      </c>
      <c r="K54" s="95">
        <v>0.71414359574765829</v>
      </c>
      <c r="L54" s="95">
        <v>0</v>
      </c>
      <c r="M54" s="95">
        <v>3.8511614666082945E-2</v>
      </c>
      <c r="N54" s="95">
        <v>0</v>
      </c>
      <c r="O54" s="95">
        <v>0.2473447895862588</v>
      </c>
      <c r="P54" s="95">
        <v>0</v>
      </c>
      <c r="Q54" s="95">
        <v>1</v>
      </c>
      <c r="R54" s="95">
        <v>1</v>
      </c>
    </row>
    <row r="55" spans="2:18">
      <c r="B55" s="10" t="s">
        <v>274</v>
      </c>
      <c r="C55" s="93">
        <v>1</v>
      </c>
      <c r="D55" s="10" t="s">
        <v>47</v>
      </c>
      <c r="E55" s="24">
        <f t="shared" si="2"/>
        <v>26615.080170291989</v>
      </c>
      <c r="F55" s="24">
        <f t="shared" si="3"/>
        <v>70396.297143319636</v>
      </c>
      <c r="G55" s="24">
        <v>26615.080170291989</v>
      </c>
      <c r="H55" s="24">
        <v>70396.297143319636</v>
      </c>
      <c r="I55" s="24">
        <v>17451.727159100854</v>
      </c>
      <c r="J55" s="24">
        <v>0</v>
      </c>
      <c r="K55" s="95">
        <v>0.66475486808195483</v>
      </c>
      <c r="L55" s="95">
        <v>0</v>
      </c>
      <c r="M55" s="95">
        <v>4.5554003311923177E-2</v>
      </c>
      <c r="N55" s="95">
        <v>0</v>
      </c>
      <c r="O55" s="95">
        <v>0.28969112860612201</v>
      </c>
      <c r="P55" s="95">
        <v>0</v>
      </c>
      <c r="Q55" s="95">
        <v>1</v>
      </c>
      <c r="R55" s="95">
        <v>1</v>
      </c>
    </row>
    <row r="56" spans="2:18">
      <c r="B56" s="10" t="s">
        <v>282</v>
      </c>
      <c r="C56" s="93">
        <v>1</v>
      </c>
      <c r="D56" s="10" t="s">
        <v>47</v>
      </c>
      <c r="E56" s="24">
        <f t="shared" si="2"/>
        <v>47725.891729794574</v>
      </c>
      <c r="F56" s="24">
        <f t="shared" si="3"/>
        <v>272685.76706342906</v>
      </c>
      <c r="G56" s="24">
        <v>47725.891729794574</v>
      </c>
      <c r="H56" s="24">
        <v>272685.76706342906</v>
      </c>
      <c r="I56" s="24">
        <v>1678.7934345413187</v>
      </c>
      <c r="J56" s="24">
        <v>0</v>
      </c>
      <c r="K56" s="95">
        <v>0.73887791972663841</v>
      </c>
      <c r="L56" s="95">
        <v>0</v>
      </c>
      <c r="M56" s="95">
        <v>3.7395890356559484E-2</v>
      </c>
      <c r="N56" s="95">
        <v>0</v>
      </c>
      <c r="O56" s="95">
        <v>0.22372618991680213</v>
      </c>
      <c r="P56" s="95">
        <v>0</v>
      </c>
      <c r="Q56" s="95">
        <v>1</v>
      </c>
      <c r="R56" s="95">
        <v>1</v>
      </c>
    </row>
    <row r="57" spans="2:18">
      <c r="B57" s="10" t="s">
        <v>477</v>
      </c>
      <c r="C57" s="93">
        <v>1</v>
      </c>
      <c r="D57" s="10" t="s">
        <v>47</v>
      </c>
      <c r="E57" s="24">
        <f t="shared" si="2"/>
        <v>1708142.6524989703</v>
      </c>
      <c r="F57" s="24">
        <f t="shared" si="3"/>
        <v>6287353.983303302</v>
      </c>
      <c r="G57" s="24">
        <v>1708142.6524989703</v>
      </c>
      <c r="H57" s="24">
        <v>6287353.983303302</v>
      </c>
      <c r="I57" s="24">
        <v>567738.82735509449</v>
      </c>
      <c r="J57" s="24">
        <v>0</v>
      </c>
      <c r="K57" s="95">
        <v>0.71866364782400527</v>
      </c>
      <c r="L57" s="95">
        <v>0</v>
      </c>
      <c r="M57" s="95">
        <v>3.8307607555871752E-2</v>
      </c>
      <c r="N57" s="95">
        <v>0</v>
      </c>
      <c r="O57" s="95">
        <v>0.24302874462012294</v>
      </c>
      <c r="P57" s="95">
        <v>0</v>
      </c>
      <c r="Q57" s="95">
        <v>1</v>
      </c>
      <c r="R57" s="95">
        <v>1</v>
      </c>
    </row>
    <row r="58" spans="2:18">
      <c r="B58" s="10" t="s">
        <v>478</v>
      </c>
      <c r="C58" s="93">
        <v>1</v>
      </c>
      <c r="D58" s="10" t="s">
        <v>47</v>
      </c>
      <c r="E58" s="24">
        <f t="shared" si="2"/>
        <v>74915.792332724828</v>
      </c>
      <c r="F58" s="24">
        <f t="shared" si="3"/>
        <v>294575</v>
      </c>
      <c r="G58" s="24">
        <v>74915.792332724828</v>
      </c>
      <c r="H58" s="24">
        <v>294575</v>
      </c>
      <c r="I58" s="24">
        <v>17894.525620093686</v>
      </c>
      <c r="J58" s="24">
        <v>0</v>
      </c>
      <c r="K58" s="95">
        <v>0.86158089823947037</v>
      </c>
      <c r="L58" s="95">
        <v>0</v>
      </c>
      <c r="M58" s="95">
        <v>1.7879891419730717E-2</v>
      </c>
      <c r="N58" s="95">
        <v>0</v>
      </c>
      <c r="O58" s="95">
        <v>0.12053921034079879</v>
      </c>
      <c r="P58" s="95">
        <v>0</v>
      </c>
      <c r="Q58" s="95">
        <v>1</v>
      </c>
      <c r="R58" s="95">
        <v>1</v>
      </c>
    </row>
    <row r="59" spans="2:18">
      <c r="B59" s="10" t="s">
        <v>286</v>
      </c>
      <c r="C59" s="93">
        <v>1</v>
      </c>
      <c r="D59" s="10" t="s">
        <v>47</v>
      </c>
      <c r="E59" s="24">
        <f t="shared" si="2"/>
        <v>1061.9229089076593</v>
      </c>
      <c r="F59" s="24">
        <f t="shared" si="3"/>
        <v>150</v>
      </c>
      <c r="G59" s="24">
        <v>1061.9229089076593</v>
      </c>
      <c r="H59" s="24">
        <v>150</v>
      </c>
      <c r="I59" s="24">
        <v>973.03377200576017</v>
      </c>
      <c r="J59" s="24">
        <v>0</v>
      </c>
      <c r="K59" s="95">
        <v>0.82767035967772618</v>
      </c>
      <c r="L59" s="95">
        <v>0</v>
      </c>
      <c r="M59" s="95">
        <v>2.064662896779091E-2</v>
      </c>
      <c r="N59" s="95">
        <v>0</v>
      </c>
      <c r="O59" s="95">
        <v>0.15168301135448289</v>
      </c>
      <c r="P59" s="95">
        <v>0</v>
      </c>
      <c r="Q59" s="95">
        <v>1</v>
      </c>
      <c r="R59" s="95">
        <v>1</v>
      </c>
    </row>
    <row r="60" spans="2:18">
      <c r="B60" s="10" t="s">
        <v>198</v>
      </c>
      <c r="C60" s="93">
        <v>4</v>
      </c>
      <c r="D60" s="10" t="s">
        <v>37</v>
      </c>
      <c r="E60" s="24">
        <f t="shared" si="2"/>
        <v>500000</v>
      </c>
      <c r="F60" s="24">
        <f t="shared" si="3"/>
        <v>9800000</v>
      </c>
      <c r="G60" s="24">
        <v>500000</v>
      </c>
      <c r="H60" s="24">
        <v>9800000</v>
      </c>
      <c r="I60" s="24">
        <v>50000</v>
      </c>
      <c r="J60" s="24">
        <v>980000</v>
      </c>
      <c r="K60" s="95">
        <v>0.5</v>
      </c>
      <c r="L60" s="95">
        <v>0.51020408163265307</v>
      </c>
      <c r="M60" s="95">
        <v>0.15</v>
      </c>
      <c r="N60" s="95">
        <v>0.14795918367346939</v>
      </c>
      <c r="O60" s="95">
        <v>0.35</v>
      </c>
      <c r="P60" s="95">
        <v>0.34183673469387754</v>
      </c>
      <c r="Q60" s="95">
        <v>1</v>
      </c>
      <c r="R60" s="95">
        <v>1</v>
      </c>
    </row>
    <row r="61" spans="2:18">
      <c r="B61" s="10" t="s">
        <v>719</v>
      </c>
      <c r="C61" s="93">
        <v>4</v>
      </c>
      <c r="D61" s="10" t="s">
        <v>37</v>
      </c>
      <c r="E61" s="24">
        <f t="shared" si="2"/>
        <v>1061.9229089076593</v>
      </c>
      <c r="F61" s="24">
        <f t="shared" si="3"/>
        <v>120000</v>
      </c>
      <c r="G61" s="24">
        <v>1061.9229089076593</v>
      </c>
      <c r="H61" s="24">
        <v>120000</v>
      </c>
      <c r="I61" s="24">
        <v>973.03377200576017</v>
      </c>
      <c r="J61" s="24">
        <v>40000</v>
      </c>
      <c r="K61" s="95">
        <v>0.83639659069595018</v>
      </c>
      <c r="L61" s="95">
        <v>0.5</v>
      </c>
      <c r="M61" s="95">
        <v>2.064662896779091E-2</v>
      </c>
      <c r="N61" s="95">
        <v>0.125</v>
      </c>
      <c r="O61" s="95">
        <v>0.14295678033625892</v>
      </c>
      <c r="P61" s="95">
        <v>0.375</v>
      </c>
      <c r="Q61" s="95">
        <v>1</v>
      </c>
      <c r="R61" s="95">
        <v>1</v>
      </c>
    </row>
    <row r="62" spans="2:18">
      <c r="B62" s="10" t="s">
        <v>219</v>
      </c>
      <c r="C62" s="93">
        <v>4</v>
      </c>
      <c r="D62" s="10" t="s">
        <v>37</v>
      </c>
      <c r="E62" s="24">
        <f t="shared" si="2"/>
        <v>400000</v>
      </c>
      <c r="F62" s="24">
        <f t="shared" si="3"/>
        <v>3000000</v>
      </c>
      <c r="G62" s="24">
        <v>400000</v>
      </c>
      <c r="H62" s="24">
        <v>3000000</v>
      </c>
      <c r="I62" s="24">
        <v>10000</v>
      </c>
      <c r="J62" s="24">
        <v>5800</v>
      </c>
      <c r="K62" s="95">
        <v>0.74</v>
      </c>
      <c r="L62" s="95">
        <v>0.74</v>
      </c>
      <c r="M62" s="95">
        <v>0.1</v>
      </c>
      <c r="N62" s="95">
        <v>0.1</v>
      </c>
      <c r="O62" s="95">
        <v>0.16</v>
      </c>
      <c r="P62" s="95">
        <v>0.16</v>
      </c>
      <c r="Q62" s="95">
        <v>1</v>
      </c>
      <c r="R62" s="95">
        <v>1</v>
      </c>
    </row>
    <row r="63" spans="2:18">
      <c r="B63" s="10" t="s">
        <v>228</v>
      </c>
      <c r="C63" s="93">
        <v>2</v>
      </c>
      <c r="D63" s="10" t="s">
        <v>37</v>
      </c>
      <c r="E63" s="24">
        <f t="shared" si="2"/>
        <v>20</v>
      </c>
      <c r="F63" s="24">
        <f t="shared" si="3"/>
        <v>500</v>
      </c>
      <c r="G63" s="24">
        <v>20</v>
      </c>
      <c r="H63" s="24">
        <v>500</v>
      </c>
      <c r="I63" s="24">
        <v>20</v>
      </c>
      <c r="J63" s="24">
        <v>400</v>
      </c>
      <c r="K63" s="95">
        <v>0</v>
      </c>
      <c r="L63" s="95">
        <v>0</v>
      </c>
      <c r="M63" s="95">
        <v>0.5</v>
      </c>
      <c r="N63" s="95">
        <v>0.42499999999999999</v>
      </c>
      <c r="O63" s="95">
        <v>0.5</v>
      </c>
      <c r="P63" s="95">
        <v>0.57499999999999996</v>
      </c>
      <c r="Q63" s="95">
        <v>1</v>
      </c>
      <c r="R63" s="95">
        <v>1</v>
      </c>
    </row>
    <row r="64" spans="2:18">
      <c r="B64" s="10" t="s">
        <v>235</v>
      </c>
      <c r="C64" s="93">
        <v>4</v>
      </c>
      <c r="D64" s="10" t="s">
        <v>37</v>
      </c>
      <c r="E64" s="24">
        <f t="shared" si="2"/>
        <v>2400</v>
      </c>
      <c r="F64" s="24">
        <f t="shared" si="3"/>
        <v>13000</v>
      </c>
      <c r="G64" s="24">
        <v>2400</v>
      </c>
      <c r="H64" s="24">
        <v>13000</v>
      </c>
      <c r="I64" s="24">
        <v>2400</v>
      </c>
      <c r="J64" s="24">
        <v>11000</v>
      </c>
      <c r="K64" s="95">
        <v>8.3333333333333329E-2</v>
      </c>
      <c r="L64" s="95">
        <v>7.2727272727272724E-2</v>
      </c>
      <c r="M64" s="95">
        <v>0.15</v>
      </c>
      <c r="N64" s="95">
        <v>0.15</v>
      </c>
      <c r="O64" s="95">
        <v>0.76666666666666672</v>
      </c>
      <c r="P64" s="95">
        <v>0.77727272727272723</v>
      </c>
      <c r="Q64" s="95">
        <v>1</v>
      </c>
      <c r="R64" s="95">
        <v>1</v>
      </c>
    </row>
    <row r="65" spans="2:18">
      <c r="B65" s="10" t="s">
        <v>240</v>
      </c>
      <c r="C65" s="93">
        <v>4</v>
      </c>
      <c r="D65" s="10" t="s">
        <v>37</v>
      </c>
      <c r="E65" s="24">
        <f t="shared" si="2"/>
        <v>805000</v>
      </c>
      <c r="F65" s="24">
        <f t="shared" si="3"/>
        <v>8400000</v>
      </c>
      <c r="G65" s="24">
        <v>805000</v>
      </c>
      <c r="H65" s="24">
        <v>8400000</v>
      </c>
      <c r="I65" s="24">
        <v>1500</v>
      </c>
      <c r="J65" s="24">
        <v>2380</v>
      </c>
      <c r="K65" s="95">
        <v>0.62110299999999996</v>
      </c>
      <c r="L65" s="95">
        <v>0.62110299999999996</v>
      </c>
      <c r="M65" s="95">
        <v>8.9099999999999999E-2</v>
      </c>
      <c r="N65" s="95">
        <v>8.9099999999999999E-2</v>
      </c>
      <c r="O65" s="95">
        <v>0.28979699999999997</v>
      </c>
      <c r="P65" s="95">
        <v>0.28979699999999997</v>
      </c>
      <c r="Q65" s="95">
        <v>1</v>
      </c>
      <c r="R65" s="95">
        <v>1</v>
      </c>
    </row>
    <row r="66" spans="2:18">
      <c r="B66" s="10" t="s">
        <v>733</v>
      </c>
      <c r="C66" s="93">
        <v>4</v>
      </c>
      <c r="D66" s="10" t="s">
        <v>37</v>
      </c>
      <c r="E66" s="24">
        <f t="shared" ref="E66:E97" si="4">IF($T$2=1,G66,I66)</f>
        <v>691700</v>
      </c>
      <c r="F66" s="24">
        <f t="shared" ref="F66:F97" si="5">IF($T$2=1,H66,J66)</f>
        <v>7000000</v>
      </c>
      <c r="G66" s="24">
        <v>691700</v>
      </c>
      <c r="H66" s="24">
        <v>7000000</v>
      </c>
      <c r="I66" s="24">
        <v>5000</v>
      </c>
      <c r="J66" s="24">
        <v>15000</v>
      </c>
      <c r="K66" s="95">
        <v>0.5</v>
      </c>
      <c r="L66" s="95">
        <v>0.66666666666666663</v>
      </c>
      <c r="M66" s="95">
        <v>0.1</v>
      </c>
      <c r="N66" s="95">
        <v>6.6666666666666666E-2</v>
      </c>
      <c r="O66" s="95">
        <v>0.4</v>
      </c>
      <c r="P66" s="95">
        <v>0.26666666666666666</v>
      </c>
      <c r="Q66" s="95">
        <v>1</v>
      </c>
      <c r="R66" s="95">
        <v>1</v>
      </c>
    </row>
    <row r="67" spans="2:18">
      <c r="B67" s="10" t="s">
        <v>254</v>
      </c>
      <c r="C67" s="93">
        <v>4</v>
      </c>
      <c r="D67" s="10" t="s">
        <v>37</v>
      </c>
      <c r="E67" s="24">
        <f t="shared" si="4"/>
        <v>3000000</v>
      </c>
      <c r="F67" s="24">
        <f t="shared" si="5"/>
        <v>30000000</v>
      </c>
      <c r="G67" s="24">
        <v>3000000</v>
      </c>
      <c r="H67" s="24">
        <v>30000000</v>
      </c>
      <c r="I67" s="24">
        <v>0</v>
      </c>
      <c r="J67" s="24">
        <v>30000</v>
      </c>
      <c r="K67" s="95">
        <v>0</v>
      </c>
      <c r="L67" s="95">
        <v>0.71</v>
      </c>
      <c r="M67" s="95">
        <v>0</v>
      </c>
      <c r="N67" s="95">
        <v>0.09</v>
      </c>
      <c r="O67" s="95">
        <v>0</v>
      </c>
      <c r="P67" s="95">
        <v>0.2</v>
      </c>
      <c r="Q67" s="95">
        <v>1</v>
      </c>
      <c r="R67" s="95">
        <v>1</v>
      </c>
    </row>
    <row r="68" spans="2:18">
      <c r="B68" s="10" t="s">
        <v>199</v>
      </c>
      <c r="C68" s="93">
        <v>2</v>
      </c>
      <c r="D68" s="10" t="s">
        <v>48</v>
      </c>
      <c r="E68" s="24">
        <f t="shared" si="4"/>
        <v>120</v>
      </c>
      <c r="F68" s="24">
        <f t="shared" si="5"/>
        <v>6000</v>
      </c>
      <c r="G68" s="24">
        <v>120</v>
      </c>
      <c r="H68" s="24">
        <v>6000</v>
      </c>
      <c r="I68" s="24">
        <v>120</v>
      </c>
      <c r="J68" s="24">
        <v>2000</v>
      </c>
      <c r="K68" s="95">
        <v>1.6666666666666668E-3</v>
      </c>
      <c r="L68" s="95">
        <v>1.5E-3</v>
      </c>
      <c r="M68" s="95">
        <v>0.5</v>
      </c>
      <c r="N68" s="95">
        <v>0.25</v>
      </c>
      <c r="O68" s="95">
        <v>0.49833333333333329</v>
      </c>
      <c r="P68" s="95">
        <v>0.74850000000000005</v>
      </c>
      <c r="Q68" s="95">
        <v>1</v>
      </c>
      <c r="R68" s="95">
        <v>1</v>
      </c>
    </row>
    <row r="69" spans="2:18">
      <c r="B69" s="10" t="s">
        <v>729</v>
      </c>
      <c r="C69" s="93">
        <v>2</v>
      </c>
      <c r="D69" s="10" t="s">
        <v>48</v>
      </c>
      <c r="E69" s="24">
        <f t="shared" si="4"/>
        <v>660</v>
      </c>
      <c r="F69" s="24">
        <f t="shared" si="5"/>
        <v>6600</v>
      </c>
      <c r="G69" s="24">
        <v>660</v>
      </c>
      <c r="H69" s="24">
        <v>6600</v>
      </c>
      <c r="I69" s="24">
        <v>660</v>
      </c>
      <c r="J69" s="24">
        <v>5000</v>
      </c>
      <c r="K69" s="95">
        <v>0.19696969696969696</v>
      </c>
      <c r="L69" s="95">
        <v>0.15</v>
      </c>
      <c r="M69" s="95">
        <v>0.19696969696969696</v>
      </c>
      <c r="N69" s="95">
        <v>0.15</v>
      </c>
      <c r="O69" s="95">
        <v>0.60606060606060608</v>
      </c>
      <c r="P69" s="95">
        <v>0.7</v>
      </c>
      <c r="Q69" s="95">
        <v>1</v>
      </c>
      <c r="R69" s="95">
        <v>1</v>
      </c>
    </row>
    <row r="70" spans="2:18">
      <c r="B70" s="10" t="s">
        <v>57</v>
      </c>
      <c r="C70" s="93">
        <v>3</v>
      </c>
      <c r="D70" s="10" t="s">
        <v>48</v>
      </c>
      <c r="E70" s="24">
        <f t="shared" si="4"/>
        <v>330</v>
      </c>
      <c r="F70" s="24">
        <f t="shared" si="5"/>
        <v>17000</v>
      </c>
      <c r="G70" s="24">
        <v>330</v>
      </c>
      <c r="H70" s="24">
        <v>17000</v>
      </c>
      <c r="I70" s="24">
        <v>190</v>
      </c>
      <c r="J70" s="24">
        <v>2400</v>
      </c>
      <c r="K70" s="95">
        <v>0</v>
      </c>
      <c r="L70" s="95">
        <v>0</v>
      </c>
      <c r="M70" s="95">
        <v>0.44736842105263158</v>
      </c>
      <c r="N70" s="95">
        <v>0.22916666666666666</v>
      </c>
      <c r="O70" s="95">
        <v>0.55263157894736847</v>
      </c>
      <c r="P70" s="95">
        <v>0.77083333333333337</v>
      </c>
      <c r="Q70" s="95">
        <v>1</v>
      </c>
      <c r="R70" s="95">
        <v>1</v>
      </c>
    </row>
    <row r="71" spans="2:18">
      <c r="B71" s="10" t="s">
        <v>58</v>
      </c>
      <c r="C71" s="93">
        <v>3</v>
      </c>
      <c r="D71" s="10" t="s">
        <v>48</v>
      </c>
      <c r="E71" s="24">
        <f t="shared" si="4"/>
        <v>70</v>
      </c>
      <c r="F71" s="24">
        <f t="shared" si="5"/>
        <v>4000</v>
      </c>
      <c r="G71" s="24">
        <v>70</v>
      </c>
      <c r="H71" s="24">
        <v>4000</v>
      </c>
      <c r="I71" s="24">
        <v>45</v>
      </c>
      <c r="J71" s="24">
        <v>600</v>
      </c>
      <c r="K71" s="95">
        <v>0</v>
      </c>
      <c r="L71" s="95">
        <v>0</v>
      </c>
      <c r="M71" s="95">
        <v>0.48888888888888887</v>
      </c>
      <c r="N71" s="95">
        <v>0.1</v>
      </c>
      <c r="O71" s="95">
        <v>0.51111111111111107</v>
      </c>
      <c r="P71" s="95">
        <v>0.9</v>
      </c>
      <c r="Q71" s="95">
        <v>1</v>
      </c>
      <c r="R71" s="95">
        <v>1</v>
      </c>
    </row>
    <row r="72" spans="2:18">
      <c r="B72" s="10" t="s">
        <v>744</v>
      </c>
      <c r="C72" s="93">
        <v>2</v>
      </c>
      <c r="D72" s="10" t="s">
        <v>48</v>
      </c>
      <c r="E72" s="24">
        <f t="shared" si="4"/>
        <v>400</v>
      </c>
      <c r="F72" s="24">
        <f t="shared" si="5"/>
        <v>5200</v>
      </c>
      <c r="G72" s="24">
        <v>400</v>
      </c>
      <c r="H72" s="24">
        <v>5200</v>
      </c>
      <c r="I72" s="24">
        <v>400</v>
      </c>
      <c r="J72" s="24">
        <v>2340</v>
      </c>
      <c r="K72" s="95">
        <v>0</v>
      </c>
      <c r="L72" s="95">
        <v>0</v>
      </c>
      <c r="M72" s="95">
        <v>0</v>
      </c>
      <c r="N72" s="95">
        <v>0</v>
      </c>
      <c r="O72" s="95">
        <v>1</v>
      </c>
      <c r="P72" s="95">
        <v>1</v>
      </c>
      <c r="Q72" s="95">
        <v>1</v>
      </c>
      <c r="R72" s="95">
        <v>1</v>
      </c>
    </row>
    <row r="73" spans="2:18">
      <c r="B73" s="10" t="s">
        <v>488</v>
      </c>
      <c r="C73" s="93">
        <v>1</v>
      </c>
      <c r="D73" s="10" t="s">
        <v>48</v>
      </c>
      <c r="E73" s="24">
        <f t="shared" si="4"/>
        <v>50</v>
      </c>
      <c r="F73" s="24">
        <f t="shared" si="5"/>
        <v>1000</v>
      </c>
      <c r="G73" s="24">
        <v>50</v>
      </c>
      <c r="H73" s="24">
        <v>1000</v>
      </c>
      <c r="I73" s="24">
        <v>20</v>
      </c>
      <c r="J73" s="24">
        <v>200</v>
      </c>
      <c r="K73" s="95">
        <v>0.5</v>
      </c>
      <c r="L73" s="95">
        <v>0.5</v>
      </c>
      <c r="M73" s="95">
        <v>0</v>
      </c>
      <c r="N73" s="95">
        <v>0</v>
      </c>
      <c r="O73" s="95">
        <v>0.5</v>
      </c>
      <c r="P73" s="95">
        <v>0.5</v>
      </c>
      <c r="Q73" s="95">
        <v>1</v>
      </c>
      <c r="R73" s="95">
        <v>1</v>
      </c>
    </row>
    <row r="74" spans="2:18">
      <c r="B74" s="10" t="s">
        <v>491</v>
      </c>
      <c r="C74" s="93">
        <v>4</v>
      </c>
      <c r="D74" s="10" t="s">
        <v>48</v>
      </c>
      <c r="E74" s="24">
        <f t="shared" si="4"/>
        <v>1650</v>
      </c>
      <c r="F74" s="24">
        <f t="shared" si="5"/>
        <v>85000</v>
      </c>
      <c r="G74" s="24">
        <v>1650</v>
      </c>
      <c r="H74" s="24">
        <v>85000</v>
      </c>
      <c r="I74" s="24">
        <v>1100</v>
      </c>
      <c r="J74" s="24">
        <v>19000</v>
      </c>
      <c r="K74" s="95">
        <v>0</v>
      </c>
      <c r="L74" s="95">
        <v>1.5789473684210527E-2</v>
      </c>
      <c r="M74" s="95">
        <v>0.63636363636363635</v>
      </c>
      <c r="N74" s="95">
        <v>0.47368421052631576</v>
      </c>
      <c r="O74" s="95">
        <v>0.36363636363636365</v>
      </c>
      <c r="P74" s="95">
        <v>0.51052631578947372</v>
      </c>
      <c r="Q74" s="95">
        <v>1</v>
      </c>
      <c r="R74" s="95">
        <v>1</v>
      </c>
    </row>
    <row r="75" spans="2:18">
      <c r="B75" s="10" t="s">
        <v>220</v>
      </c>
      <c r="C75" s="93">
        <v>3</v>
      </c>
      <c r="D75" s="10" t="s">
        <v>48</v>
      </c>
      <c r="E75" s="24">
        <f t="shared" si="4"/>
        <v>80</v>
      </c>
      <c r="F75" s="24">
        <f t="shared" si="5"/>
        <v>5000</v>
      </c>
      <c r="G75" s="24">
        <v>80</v>
      </c>
      <c r="H75" s="24">
        <v>5000</v>
      </c>
      <c r="I75" s="24">
        <v>60</v>
      </c>
      <c r="J75" s="24">
        <v>3500</v>
      </c>
      <c r="K75" s="95">
        <v>0</v>
      </c>
      <c r="L75" s="95">
        <v>0</v>
      </c>
      <c r="M75" s="95">
        <v>0.5</v>
      </c>
      <c r="N75" s="95">
        <v>0.22857142857142856</v>
      </c>
      <c r="O75" s="95">
        <v>0.5</v>
      </c>
      <c r="P75" s="95">
        <v>0.77142857142857146</v>
      </c>
      <c r="Q75" s="95">
        <v>1</v>
      </c>
      <c r="R75" s="95">
        <v>1</v>
      </c>
    </row>
    <row r="76" spans="2:18">
      <c r="B76" s="10" t="s">
        <v>200</v>
      </c>
      <c r="C76" s="93">
        <v>6</v>
      </c>
      <c r="D76" s="10" t="s">
        <v>49</v>
      </c>
      <c r="E76" s="24">
        <f t="shared" si="4"/>
        <v>22000</v>
      </c>
      <c r="F76" s="24">
        <f t="shared" si="5"/>
        <v>800000</v>
      </c>
      <c r="G76" s="24">
        <v>22000</v>
      </c>
      <c r="H76" s="24">
        <v>800000</v>
      </c>
      <c r="I76" s="24">
        <v>5000</v>
      </c>
      <c r="J76" s="24">
        <v>50000</v>
      </c>
      <c r="K76" s="95">
        <v>0.05</v>
      </c>
      <c r="L76" s="95">
        <v>0.2</v>
      </c>
      <c r="M76" s="95">
        <v>0.01</v>
      </c>
      <c r="N76" s="95">
        <v>0.01</v>
      </c>
      <c r="O76" s="95">
        <v>0.94</v>
      </c>
      <c r="P76" s="95">
        <v>0.79</v>
      </c>
      <c r="Q76" s="95">
        <v>1</v>
      </c>
      <c r="R76" s="95">
        <v>1</v>
      </c>
    </row>
    <row r="77" spans="2:18">
      <c r="B77" s="10" t="s">
        <v>205</v>
      </c>
      <c r="C77" s="93">
        <v>2</v>
      </c>
      <c r="D77" s="10" t="s">
        <v>49</v>
      </c>
      <c r="E77" s="24">
        <f t="shared" si="4"/>
        <v>20</v>
      </c>
      <c r="F77" s="24">
        <f t="shared" si="5"/>
        <v>600</v>
      </c>
      <c r="G77" s="24">
        <v>20</v>
      </c>
      <c r="H77" s="24">
        <v>600</v>
      </c>
      <c r="I77" s="24">
        <v>20</v>
      </c>
      <c r="J77" s="24">
        <v>500</v>
      </c>
      <c r="K77" s="95">
        <v>0</v>
      </c>
      <c r="L77" s="95">
        <v>0</v>
      </c>
      <c r="M77" s="95">
        <v>0.51</v>
      </c>
      <c r="N77" s="95">
        <v>0.34</v>
      </c>
      <c r="O77" s="95">
        <v>0.49000000000000005</v>
      </c>
      <c r="P77" s="95">
        <v>0.66</v>
      </c>
      <c r="Q77" s="95">
        <v>1</v>
      </c>
      <c r="R77" s="95">
        <v>1</v>
      </c>
    </row>
    <row r="78" spans="2:18">
      <c r="B78" s="10" t="s">
        <v>484</v>
      </c>
      <c r="C78" s="93">
        <v>2</v>
      </c>
      <c r="D78" s="10" t="s">
        <v>49</v>
      </c>
      <c r="E78" s="24">
        <f t="shared" si="4"/>
        <v>400</v>
      </c>
      <c r="F78" s="24">
        <f t="shared" si="5"/>
        <v>25000</v>
      </c>
      <c r="G78" s="24">
        <v>400</v>
      </c>
      <c r="H78" s="24">
        <v>25000</v>
      </c>
      <c r="I78" s="24">
        <v>400</v>
      </c>
      <c r="J78" s="24">
        <v>20000</v>
      </c>
      <c r="K78" s="95">
        <v>0</v>
      </c>
      <c r="L78" s="95">
        <v>0</v>
      </c>
      <c r="M78" s="95">
        <v>1</v>
      </c>
      <c r="N78" s="95">
        <v>0.35</v>
      </c>
      <c r="O78" s="95">
        <v>0</v>
      </c>
      <c r="P78" s="95">
        <v>0.65</v>
      </c>
      <c r="Q78" s="95">
        <v>1</v>
      </c>
      <c r="R78" s="95">
        <v>1</v>
      </c>
    </row>
    <row r="79" spans="2:18">
      <c r="B79" s="10" t="s">
        <v>732</v>
      </c>
      <c r="C79" s="93">
        <v>2</v>
      </c>
      <c r="D79" s="10" t="s">
        <v>49</v>
      </c>
      <c r="E79" s="24">
        <f t="shared" si="4"/>
        <v>3</v>
      </c>
      <c r="F79" s="24">
        <f t="shared" si="5"/>
        <v>10</v>
      </c>
      <c r="G79" s="24">
        <v>3</v>
      </c>
      <c r="H79" s="24">
        <v>10</v>
      </c>
      <c r="I79" s="24">
        <v>3</v>
      </c>
      <c r="J79" s="24">
        <v>10</v>
      </c>
      <c r="K79" s="95">
        <v>0</v>
      </c>
      <c r="L79" s="95">
        <v>0</v>
      </c>
      <c r="M79" s="95">
        <v>0.33333333333333331</v>
      </c>
      <c r="N79" s="95">
        <v>0.3</v>
      </c>
      <c r="O79" s="95">
        <v>0.66666666666666663</v>
      </c>
      <c r="P79" s="95">
        <v>0.7</v>
      </c>
      <c r="Q79" s="95">
        <v>1</v>
      </c>
      <c r="R79" s="95">
        <v>1</v>
      </c>
    </row>
    <row r="80" spans="2:18">
      <c r="B80" s="10" t="s">
        <v>212</v>
      </c>
      <c r="C80" s="93">
        <v>2</v>
      </c>
      <c r="D80" s="10" t="s">
        <v>49</v>
      </c>
      <c r="E80" s="24">
        <f t="shared" si="4"/>
        <v>4</v>
      </c>
      <c r="F80" s="24">
        <f t="shared" si="5"/>
        <v>120</v>
      </c>
      <c r="G80" s="24">
        <v>4</v>
      </c>
      <c r="H80" s="24">
        <v>120</v>
      </c>
      <c r="I80" s="24">
        <v>4</v>
      </c>
      <c r="J80" s="24">
        <v>100</v>
      </c>
      <c r="K80" s="95">
        <v>2.5000000000000001E-2</v>
      </c>
      <c r="L80" s="95">
        <v>1.782857142857143E-2</v>
      </c>
      <c r="M80" s="95">
        <v>0.5</v>
      </c>
      <c r="N80" s="95">
        <v>0.35</v>
      </c>
      <c r="O80" s="95">
        <v>0.47499999999999998</v>
      </c>
      <c r="P80" s="95">
        <v>0.63217142857142861</v>
      </c>
      <c r="Q80" s="95">
        <v>1</v>
      </c>
      <c r="R80" s="95">
        <v>1</v>
      </c>
    </row>
    <row r="81" spans="2:18">
      <c r="B81" s="10" t="s">
        <v>735</v>
      </c>
      <c r="C81" s="93">
        <v>2</v>
      </c>
      <c r="D81" s="10" t="s">
        <v>49</v>
      </c>
      <c r="E81" s="24">
        <f t="shared" si="4"/>
        <v>16500</v>
      </c>
      <c r="F81" s="24">
        <f t="shared" si="5"/>
        <v>270000</v>
      </c>
      <c r="G81" s="24">
        <v>16500</v>
      </c>
      <c r="H81" s="24">
        <v>270000</v>
      </c>
      <c r="I81" s="24">
        <v>6500</v>
      </c>
      <c r="J81" s="24">
        <v>100000</v>
      </c>
      <c r="K81" s="95">
        <v>0</v>
      </c>
      <c r="L81" s="95">
        <v>0</v>
      </c>
      <c r="M81" s="95">
        <v>0</v>
      </c>
      <c r="N81" s="95">
        <v>0</v>
      </c>
      <c r="O81" s="95">
        <v>1</v>
      </c>
      <c r="P81" s="95">
        <v>1</v>
      </c>
      <c r="Q81" s="95">
        <v>1</v>
      </c>
      <c r="R81" s="95">
        <v>1</v>
      </c>
    </row>
    <row r="82" spans="2:18">
      <c r="B82" s="10" t="s">
        <v>221</v>
      </c>
      <c r="C82" s="93">
        <v>2</v>
      </c>
      <c r="D82" s="10" t="s">
        <v>49</v>
      </c>
      <c r="E82" s="24">
        <f t="shared" si="4"/>
        <v>20</v>
      </c>
      <c r="F82" s="24">
        <f t="shared" si="5"/>
        <v>40</v>
      </c>
      <c r="G82" s="24">
        <v>20</v>
      </c>
      <c r="H82" s="24">
        <v>40</v>
      </c>
      <c r="I82" s="24">
        <v>20</v>
      </c>
      <c r="J82" s="24">
        <v>20</v>
      </c>
      <c r="K82" s="95">
        <v>0</v>
      </c>
      <c r="L82" s="95">
        <v>0</v>
      </c>
      <c r="M82" s="95">
        <v>0.5</v>
      </c>
      <c r="N82" s="95">
        <v>0.5</v>
      </c>
      <c r="O82" s="95">
        <v>0.5</v>
      </c>
      <c r="P82" s="95">
        <v>0.5</v>
      </c>
      <c r="Q82" s="95">
        <v>1</v>
      </c>
      <c r="R82" s="95">
        <v>1</v>
      </c>
    </row>
    <row r="83" spans="2:18">
      <c r="B83" s="10" t="s">
        <v>229</v>
      </c>
      <c r="C83" s="93">
        <v>2</v>
      </c>
      <c r="D83" s="10" t="s">
        <v>49</v>
      </c>
      <c r="E83" s="24">
        <f t="shared" si="4"/>
        <v>10</v>
      </c>
      <c r="F83" s="24">
        <f t="shared" si="5"/>
        <v>0</v>
      </c>
      <c r="G83" s="24">
        <v>10</v>
      </c>
      <c r="H83" s="24">
        <v>0</v>
      </c>
      <c r="I83" s="24">
        <v>10</v>
      </c>
      <c r="J83" s="24">
        <v>0</v>
      </c>
      <c r="K83" s="95">
        <v>0</v>
      </c>
      <c r="L83" s="95">
        <v>0</v>
      </c>
      <c r="M83" s="95">
        <v>0.32</v>
      </c>
      <c r="N83" s="95">
        <v>0</v>
      </c>
      <c r="O83" s="95">
        <v>0.67999999999999994</v>
      </c>
      <c r="P83" s="95">
        <v>0</v>
      </c>
      <c r="Q83" s="95">
        <v>1</v>
      </c>
      <c r="R83" s="95">
        <v>1</v>
      </c>
    </row>
    <row r="84" spans="2:18">
      <c r="B84" s="10" t="s">
        <v>236</v>
      </c>
      <c r="C84" s="93">
        <v>2</v>
      </c>
      <c r="D84" s="10" t="s">
        <v>49</v>
      </c>
      <c r="E84" s="24">
        <f t="shared" si="4"/>
        <v>50</v>
      </c>
      <c r="F84" s="24">
        <f t="shared" si="5"/>
        <v>100</v>
      </c>
      <c r="G84" s="24">
        <v>50</v>
      </c>
      <c r="H84" s="24">
        <v>100</v>
      </c>
      <c r="I84" s="24">
        <v>50</v>
      </c>
      <c r="J84" s="24">
        <v>50</v>
      </c>
      <c r="K84" s="95">
        <v>0</v>
      </c>
      <c r="L84" s="95">
        <v>0</v>
      </c>
      <c r="M84" s="95">
        <v>0.5</v>
      </c>
      <c r="N84" s="95">
        <v>0.5</v>
      </c>
      <c r="O84" s="95">
        <v>0.5</v>
      </c>
      <c r="P84" s="95">
        <v>0.5</v>
      </c>
      <c r="Q84" s="95">
        <v>1</v>
      </c>
      <c r="R84" s="95">
        <v>1</v>
      </c>
    </row>
    <row r="85" spans="2:18">
      <c r="B85" s="10" t="s">
        <v>241</v>
      </c>
      <c r="C85" s="93">
        <v>6</v>
      </c>
      <c r="D85" s="10" t="s">
        <v>49</v>
      </c>
      <c r="E85" s="24">
        <f t="shared" si="4"/>
        <v>10000</v>
      </c>
      <c r="F85" s="24">
        <f t="shared" si="5"/>
        <v>100000</v>
      </c>
      <c r="G85" s="24">
        <v>10000</v>
      </c>
      <c r="H85" s="24">
        <v>100000</v>
      </c>
      <c r="I85" s="24">
        <v>200</v>
      </c>
      <c r="J85" s="24">
        <v>6000</v>
      </c>
      <c r="K85" s="95">
        <v>0.1</v>
      </c>
      <c r="L85" s="95">
        <v>0.2</v>
      </c>
      <c r="M85" s="95">
        <v>0.15</v>
      </c>
      <c r="N85" s="95">
        <v>0.05</v>
      </c>
      <c r="O85" s="95">
        <v>0.75</v>
      </c>
      <c r="P85" s="95">
        <v>0.75</v>
      </c>
      <c r="Q85" s="95">
        <v>1</v>
      </c>
      <c r="R85" s="95">
        <v>1</v>
      </c>
    </row>
    <row r="86" spans="2:18">
      <c r="B86" s="10" t="s">
        <v>710</v>
      </c>
      <c r="C86" s="93">
        <v>2</v>
      </c>
      <c r="D86" s="10" t="s">
        <v>50</v>
      </c>
      <c r="E86" s="24">
        <f t="shared" si="4"/>
        <v>240</v>
      </c>
      <c r="F86" s="24">
        <f t="shared" si="5"/>
        <v>13200</v>
      </c>
      <c r="G86" s="24">
        <v>240</v>
      </c>
      <c r="H86" s="24">
        <v>13200</v>
      </c>
      <c r="I86" s="24">
        <v>240</v>
      </c>
      <c r="J86" s="24">
        <v>10000</v>
      </c>
      <c r="K86" s="95">
        <v>0</v>
      </c>
      <c r="L86" s="95">
        <v>5.0000000000000001E-3</v>
      </c>
      <c r="M86" s="95">
        <v>0.5</v>
      </c>
      <c r="N86" s="95">
        <v>9.6000000000000002E-2</v>
      </c>
      <c r="O86" s="95">
        <v>0.5</v>
      </c>
      <c r="P86" s="95">
        <v>0.89900000000000002</v>
      </c>
      <c r="Q86" s="95">
        <v>1</v>
      </c>
      <c r="R86" s="95">
        <v>1</v>
      </c>
    </row>
    <row r="87" spans="2:18">
      <c r="B87" s="10" t="s">
        <v>470</v>
      </c>
      <c r="C87" s="93">
        <v>6</v>
      </c>
      <c r="D87" s="10" t="s">
        <v>50</v>
      </c>
      <c r="E87" s="24">
        <f t="shared" si="4"/>
        <v>3000000</v>
      </c>
      <c r="F87" s="24">
        <f t="shared" si="5"/>
        <v>100000000</v>
      </c>
      <c r="G87" s="24">
        <v>3000000</v>
      </c>
      <c r="H87" s="24">
        <v>100000000</v>
      </c>
      <c r="I87" s="24">
        <v>30000</v>
      </c>
      <c r="J87" s="24">
        <v>60000</v>
      </c>
      <c r="K87" s="95">
        <v>0</v>
      </c>
      <c r="L87" s="95">
        <v>0</v>
      </c>
      <c r="M87" s="95">
        <v>0</v>
      </c>
      <c r="N87" s="95">
        <v>0</v>
      </c>
      <c r="O87" s="95">
        <v>1</v>
      </c>
      <c r="P87" s="95">
        <v>1</v>
      </c>
      <c r="Q87" s="95">
        <v>1</v>
      </c>
      <c r="R87" s="95">
        <v>1</v>
      </c>
    </row>
    <row r="88" spans="2:18">
      <c r="B88" s="10" t="s">
        <v>201</v>
      </c>
      <c r="C88" s="93">
        <v>2</v>
      </c>
      <c r="D88" s="10" t="s">
        <v>50</v>
      </c>
      <c r="E88" s="24">
        <f t="shared" si="4"/>
        <v>4</v>
      </c>
      <c r="F88" s="24">
        <f t="shared" si="5"/>
        <v>30</v>
      </c>
      <c r="G88" s="24">
        <v>4</v>
      </c>
      <c r="H88" s="24">
        <v>30</v>
      </c>
      <c r="I88" s="24">
        <v>4</v>
      </c>
      <c r="J88" s="24">
        <v>20</v>
      </c>
      <c r="K88" s="95">
        <v>0</v>
      </c>
      <c r="L88" s="95">
        <v>0</v>
      </c>
      <c r="M88" s="95">
        <v>0.5</v>
      </c>
      <c r="N88" s="95">
        <v>1</v>
      </c>
      <c r="O88" s="95">
        <v>0.5</v>
      </c>
      <c r="P88" s="95">
        <v>0</v>
      </c>
      <c r="Q88" s="95">
        <v>1</v>
      </c>
      <c r="R88" s="95">
        <v>1</v>
      </c>
    </row>
    <row r="89" spans="2:18">
      <c r="B89" s="10" t="s">
        <v>206</v>
      </c>
      <c r="C89" s="93">
        <v>2</v>
      </c>
      <c r="D89" s="10" t="s">
        <v>50</v>
      </c>
      <c r="E89" s="24">
        <f t="shared" si="4"/>
        <v>4</v>
      </c>
      <c r="F89" s="24">
        <f t="shared" si="5"/>
        <v>80</v>
      </c>
      <c r="G89" s="24">
        <v>4</v>
      </c>
      <c r="H89" s="24">
        <v>80</v>
      </c>
      <c r="I89" s="24">
        <v>4</v>
      </c>
      <c r="J89" s="24">
        <v>32.799999999999997</v>
      </c>
      <c r="K89" s="95">
        <v>0</v>
      </c>
      <c r="L89" s="95">
        <v>0</v>
      </c>
      <c r="M89" s="95">
        <v>0.5</v>
      </c>
      <c r="N89" s="95">
        <v>0.48780487804878053</v>
      </c>
      <c r="O89" s="95">
        <v>0.5</v>
      </c>
      <c r="P89" s="95">
        <v>0.51219512195121952</v>
      </c>
      <c r="Q89" s="95">
        <v>1</v>
      </c>
      <c r="R89" s="95">
        <v>1</v>
      </c>
    </row>
    <row r="90" spans="2:18">
      <c r="B90" s="10" t="s">
        <v>721</v>
      </c>
      <c r="C90" s="93">
        <v>3</v>
      </c>
      <c r="D90" s="10" t="s">
        <v>50</v>
      </c>
      <c r="E90" s="24">
        <f t="shared" si="4"/>
        <v>1250</v>
      </c>
      <c r="F90" s="24">
        <f t="shared" si="5"/>
        <v>30000</v>
      </c>
      <c r="G90" s="24">
        <v>1250</v>
      </c>
      <c r="H90" s="24">
        <v>30000</v>
      </c>
      <c r="I90" s="24">
        <v>1250</v>
      </c>
      <c r="J90" s="24">
        <v>14100</v>
      </c>
      <c r="K90" s="95">
        <v>8.0000000000000002E-3</v>
      </c>
      <c r="L90" s="95">
        <v>0.01</v>
      </c>
      <c r="M90" s="95">
        <v>0.5</v>
      </c>
      <c r="N90" s="95">
        <v>0.49</v>
      </c>
      <c r="O90" s="95">
        <v>0.49199999999999999</v>
      </c>
      <c r="P90" s="95">
        <v>0.5</v>
      </c>
      <c r="Q90" s="95">
        <v>1</v>
      </c>
      <c r="R90" s="95">
        <v>1</v>
      </c>
    </row>
    <row r="91" spans="2:18">
      <c r="B91" s="10" t="s">
        <v>480</v>
      </c>
      <c r="C91" s="93">
        <v>2</v>
      </c>
      <c r="D91" s="10" t="s">
        <v>50</v>
      </c>
      <c r="E91" s="24">
        <f t="shared" si="4"/>
        <v>30</v>
      </c>
      <c r="F91" s="24">
        <f t="shared" si="5"/>
        <v>1000</v>
      </c>
      <c r="G91" s="24">
        <v>30</v>
      </c>
      <c r="H91" s="24">
        <v>1000</v>
      </c>
      <c r="I91" s="24">
        <v>30</v>
      </c>
      <c r="J91" s="24">
        <v>250</v>
      </c>
      <c r="K91" s="95">
        <v>0.1039310344827586</v>
      </c>
      <c r="L91" s="95">
        <v>0.12471724137931033</v>
      </c>
      <c r="M91" s="95">
        <v>0.5</v>
      </c>
      <c r="N91" s="95">
        <v>0.5</v>
      </c>
      <c r="O91" s="95">
        <v>0.39606896551724141</v>
      </c>
      <c r="P91" s="95">
        <v>0.37528275862068966</v>
      </c>
      <c r="Q91" s="95">
        <v>1</v>
      </c>
      <c r="R91" s="95">
        <v>1</v>
      </c>
    </row>
    <row r="92" spans="2:18">
      <c r="B92" s="10" t="s">
        <v>722</v>
      </c>
      <c r="C92" s="93">
        <v>4</v>
      </c>
      <c r="D92" s="10" t="s">
        <v>50</v>
      </c>
      <c r="E92" s="24">
        <f t="shared" si="4"/>
        <v>20</v>
      </c>
      <c r="F92" s="24">
        <f t="shared" si="5"/>
        <v>500</v>
      </c>
      <c r="G92" s="24">
        <v>20</v>
      </c>
      <c r="H92" s="24">
        <v>500</v>
      </c>
      <c r="I92" s="24">
        <v>20</v>
      </c>
      <c r="J92" s="24">
        <v>400</v>
      </c>
      <c r="K92" s="95">
        <v>0</v>
      </c>
      <c r="L92" s="95">
        <v>0</v>
      </c>
      <c r="M92" s="95">
        <v>0.5</v>
      </c>
      <c r="N92" s="95">
        <v>0.5</v>
      </c>
      <c r="O92" s="95">
        <v>0.5</v>
      </c>
      <c r="P92" s="95">
        <v>0.5</v>
      </c>
      <c r="Q92" s="95">
        <v>1</v>
      </c>
      <c r="R92" s="95">
        <v>1</v>
      </c>
    </row>
    <row r="93" spans="2:18">
      <c r="B93" s="10" t="s">
        <v>213</v>
      </c>
      <c r="C93" s="93">
        <v>6</v>
      </c>
      <c r="D93" s="10" t="s">
        <v>50</v>
      </c>
      <c r="E93" s="24">
        <f t="shared" si="4"/>
        <v>70000</v>
      </c>
      <c r="F93" s="24">
        <f t="shared" si="5"/>
        <v>625000</v>
      </c>
      <c r="G93" s="24">
        <v>70000</v>
      </c>
      <c r="H93" s="24">
        <v>625000</v>
      </c>
      <c r="I93" s="24">
        <v>50000</v>
      </c>
      <c r="J93" s="24">
        <v>400000</v>
      </c>
      <c r="K93" s="95">
        <v>0.12</v>
      </c>
      <c r="L93" s="95">
        <v>0.13750000000000001</v>
      </c>
      <c r="M93" s="95">
        <v>0.36</v>
      </c>
      <c r="N93" s="95">
        <v>0.26250000000000001</v>
      </c>
      <c r="O93" s="95">
        <v>0.52</v>
      </c>
      <c r="P93" s="95">
        <v>0.6</v>
      </c>
      <c r="Q93" s="95">
        <v>1</v>
      </c>
      <c r="R93" s="95">
        <v>1</v>
      </c>
    </row>
    <row r="94" spans="2:18">
      <c r="B94" s="10" t="s">
        <v>724</v>
      </c>
      <c r="C94" s="93">
        <v>6</v>
      </c>
      <c r="D94" s="10" t="s">
        <v>50</v>
      </c>
      <c r="E94" s="24">
        <f t="shared" si="4"/>
        <v>1500000</v>
      </c>
      <c r="F94" s="24">
        <f t="shared" si="5"/>
        <v>30000000</v>
      </c>
      <c r="G94" s="24">
        <v>1500000</v>
      </c>
      <c r="H94" s="24">
        <v>30000000</v>
      </c>
      <c r="I94" s="24">
        <v>20000</v>
      </c>
      <c r="J94" s="24">
        <v>230000</v>
      </c>
      <c r="K94" s="95">
        <v>0.1</v>
      </c>
      <c r="L94" s="95">
        <v>0.1</v>
      </c>
      <c r="M94" s="95">
        <v>0.01</v>
      </c>
      <c r="N94" s="95">
        <v>2.1739130434782609E-3</v>
      </c>
      <c r="O94" s="95">
        <v>0.89</v>
      </c>
      <c r="P94" s="95">
        <v>0.89782608695652177</v>
      </c>
      <c r="Q94" s="95">
        <v>1</v>
      </c>
      <c r="R94" s="95">
        <v>1</v>
      </c>
    </row>
    <row r="95" spans="2:18">
      <c r="B95" s="10" t="s">
        <v>222</v>
      </c>
      <c r="C95" s="93">
        <v>2</v>
      </c>
      <c r="D95" s="10" t="s">
        <v>50</v>
      </c>
      <c r="E95" s="24">
        <f t="shared" si="4"/>
        <v>50</v>
      </c>
      <c r="F95" s="24">
        <f t="shared" si="5"/>
        <v>2500</v>
      </c>
      <c r="G95" s="24">
        <v>50</v>
      </c>
      <c r="H95" s="24">
        <v>2500</v>
      </c>
      <c r="I95" s="24">
        <v>50</v>
      </c>
      <c r="J95" s="24">
        <v>1500</v>
      </c>
      <c r="K95" s="95">
        <v>0</v>
      </c>
      <c r="L95" s="95">
        <v>0</v>
      </c>
      <c r="M95" s="95">
        <v>0.5</v>
      </c>
      <c r="N95" s="95">
        <v>0.3</v>
      </c>
      <c r="O95" s="95">
        <v>0.5</v>
      </c>
      <c r="P95" s="95">
        <v>0.7</v>
      </c>
      <c r="Q95" s="95">
        <v>1</v>
      </c>
      <c r="R95" s="95">
        <v>1</v>
      </c>
    </row>
    <row r="96" spans="2:18">
      <c r="B96" s="10" t="s">
        <v>230</v>
      </c>
      <c r="C96" s="93">
        <v>2</v>
      </c>
      <c r="D96" s="10" t="s">
        <v>50</v>
      </c>
      <c r="E96" s="24">
        <f t="shared" si="4"/>
        <v>100</v>
      </c>
      <c r="F96" s="24">
        <f t="shared" si="5"/>
        <v>6000</v>
      </c>
      <c r="G96" s="24">
        <v>100</v>
      </c>
      <c r="H96" s="24">
        <v>6000</v>
      </c>
      <c r="I96" s="24">
        <v>100</v>
      </c>
      <c r="J96" s="24">
        <v>5000</v>
      </c>
      <c r="K96" s="95">
        <v>0</v>
      </c>
      <c r="L96" s="95">
        <v>0</v>
      </c>
      <c r="M96" s="95">
        <v>0.5</v>
      </c>
      <c r="N96" s="95">
        <v>0.17</v>
      </c>
      <c r="O96" s="95">
        <v>0.5</v>
      </c>
      <c r="P96" s="95">
        <v>0.83</v>
      </c>
      <c r="Q96" s="95">
        <v>1</v>
      </c>
      <c r="R96" s="95">
        <v>1</v>
      </c>
    </row>
    <row r="97" spans="2:18">
      <c r="B97" s="10" t="s">
        <v>237</v>
      </c>
      <c r="C97" s="93">
        <v>2</v>
      </c>
      <c r="D97" s="10" t="s">
        <v>50</v>
      </c>
      <c r="E97" s="24">
        <f t="shared" si="4"/>
        <v>40</v>
      </c>
      <c r="F97" s="24">
        <f t="shared" si="5"/>
        <v>1500</v>
      </c>
      <c r="G97" s="24">
        <v>40</v>
      </c>
      <c r="H97" s="24">
        <v>1500</v>
      </c>
      <c r="I97" s="24">
        <v>40</v>
      </c>
      <c r="J97" s="24">
        <v>1400</v>
      </c>
      <c r="K97" s="95">
        <v>0</v>
      </c>
      <c r="L97" s="95">
        <v>0</v>
      </c>
      <c r="M97" s="95">
        <v>0.5</v>
      </c>
      <c r="N97" s="95">
        <v>0.25</v>
      </c>
      <c r="O97" s="95">
        <v>0.5</v>
      </c>
      <c r="P97" s="95">
        <v>0.75</v>
      </c>
      <c r="Q97" s="95">
        <v>1</v>
      </c>
      <c r="R97" s="95">
        <v>1</v>
      </c>
    </row>
    <row r="98" spans="2:18">
      <c r="B98" s="10" t="s">
        <v>242</v>
      </c>
      <c r="C98" s="93">
        <v>2</v>
      </c>
      <c r="D98" s="10" t="s">
        <v>50</v>
      </c>
      <c r="E98" s="24">
        <f t="shared" ref="E98:E129" si="6">IF($T$2=1,G98,I98)</f>
        <v>290</v>
      </c>
      <c r="F98" s="24">
        <f t="shared" ref="F98:F129" si="7">IF($T$2=1,H98,J98)</f>
        <v>10000</v>
      </c>
      <c r="G98" s="24">
        <v>290</v>
      </c>
      <c r="H98" s="24">
        <v>10000</v>
      </c>
      <c r="I98" s="24">
        <v>290</v>
      </c>
      <c r="J98" s="24">
        <v>9000</v>
      </c>
      <c r="K98" s="95">
        <v>0</v>
      </c>
      <c r="L98" s="95">
        <v>0</v>
      </c>
      <c r="M98" s="95">
        <v>0.5</v>
      </c>
      <c r="N98" s="95">
        <v>0.27777777777777779</v>
      </c>
      <c r="O98" s="95">
        <v>0.5</v>
      </c>
      <c r="P98" s="95">
        <v>0.72222222222222221</v>
      </c>
      <c r="Q98" s="95">
        <v>1</v>
      </c>
      <c r="R98" s="95">
        <v>1</v>
      </c>
    </row>
    <row r="99" spans="2:18">
      <c r="B99" s="10" t="s">
        <v>728</v>
      </c>
      <c r="C99" s="93">
        <v>2</v>
      </c>
      <c r="D99" s="10" t="s">
        <v>50</v>
      </c>
      <c r="E99" s="24">
        <f t="shared" si="6"/>
        <v>30</v>
      </c>
      <c r="F99" s="24">
        <f t="shared" si="7"/>
        <v>1000</v>
      </c>
      <c r="G99" s="24">
        <v>30</v>
      </c>
      <c r="H99" s="24">
        <v>1000</v>
      </c>
      <c r="I99" s="24">
        <v>30</v>
      </c>
      <c r="J99" s="24">
        <v>900</v>
      </c>
      <c r="K99" s="95">
        <v>0</v>
      </c>
      <c r="L99" s="95">
        <v>0</v>
      </c>
      <c r="M99" s="95">
        <v>0.5</v>
      </c>
      <c r="N99" s="95">
        <v>0.27777777777777779</v>
      </c>
      <c r="O99" s="95">
        <v>0.5</v>
      </c>
      <c r="P99" s="95">
        <v>0.72222222222222221</v>
      </c>
      <c r="Q99" s="95">
        <v>1</v>
      </c>
      <c r="R99" s="95">
        <v>1</v>
      </c>
    </row>
    <row r="100" spans="2:18">
      <c r="B100" s="10" t="s">
        <v>730</v>
      </c>
      <c r="C100" s="93">
        <v>3</v>
      </c>
      <c r="D100" s="10" t="s">
        <v>50</v>
      </c>
      <c r="E100" s="24">
        <f t="shared" si="6"/>
        <v>280</v>
      </c>
      <c r="F100" s="24">
        <f t="shared" si="7"/>
        <v>22500</v>
      </c>
      <c r="G100" s="24">
        <v>280</v>
      </c>
      <c r="H100" s="24">
        <v>22500</v>
      </c>
      <c r="I100" s="24">
        <v>280</v>
      </c>
      <c r="J100" s="24">
        <v>22500</v>
      </c>
      <c r="K100" s="95">
        <v>0</v>
      </c>
      <c r="L100" s="95">
        <v>0.53333333333333333</v>
      </c>
      <c r="M100" s="95">
        <v>0.5</v>
      </c>
      <c r="N100" s="95">
        <v>0.24444444444444444</v>
      </c>
      <c r="O100" s="95">
        <v>0.5</v>
      </c>
      <c r="P100" s="95">
        <v>0.22222222222222221</v>
      </c>
      <c r="Q100" s="95">
        <v>1</v>
      </c>
      <c r="R100" s="95">
        <v>1</v>
      </c>
    </row>
    <row r="101" spans="2:18">
      <c r="B101" s="10" t="s">
        <v>731</v>
      </c>
      <c r="C101" s="93">
        <v>2</v>
      </c>
      <c r="D101" s="10" t="s">
        <v>50</v>
      </c>
      <c r="E101" s="24">
        <f t="shared" si="6"/>
        <v>55</v>
      </c>
      <c r="F101" s="24">
        <f t="shared" si="7"/>
        <v>2700</v>
      </c>
      <c r="G101" s="24">
        <v>55</v>
      </c>
      <c r="H101" s="24">
        <v>2700</v>
      </c>
      <c r="I101" s="24">
        <v>55</v>
      </c>
      <c r="J101" s="24">
        <v>2000</v>
      </c>
      <c r="K101" s="95">
        <v>0</v>
      </c>
      <c r="L101" s="95">
        <v>0.04</v>
      </c>
      <c r="M101" s="95">
        <v>0.49090909090909091</v>
      </c>
      <c r="N101" s="95">
        <v>0.35</v>
      </c>
      <c r="O101" s="95">
        <v>0.50909090909090904</v>
      </c>
      <c r="P101" s="95">
        <v>0.61</v>
      </c>
      <c r="Q101" s="95">
        <v>1</v>
      </c>
      <c r="R101" s="95">
        <v>1</v>
      </c>
    </row>
    <row r="102" spans="2:18">
      <c r="B102" s="10" t="s">
        <v>483</v>
      </c>
      <c r="C102" s="93">
        <v>3</v>
      </c>
      <c r="D102" s="10" t="s">
        <v>50</v>
      </c>
      <c r="E102" s="24">
        <f t="shared" si="6"/>
        <v>450</v>
      </c>
      <c r="F102" s="24">
        <f t="shared" si="7"/>
        <v>25000</v>
      </c>
      <c r="G102" s="24">
        <v>450</v>
      </c>
      <c r="H102" s="24">
        <v>25000</v>
      </c>
      <c r="I102" s="24">
        <v>450</v>
      </c>
      <c r="J102" s="24">
        <v>15000</v>
      </c>
      <c r="K102" s="95">
        <v>0</v>
      </c>
      <c r="L102" s="95">
        <v>0</v>
      </c>
      <c r="M102" s="95">
        <v>0.5</v>
      </c>
      <c r="N102" s="95">
        <v>0.26666666666666666</v>
      </c>
      <c r="O102" s="95">
        <v>0.5</v>
      </c>
      <c r="P102" s="95">
        <v>0.73333333333333328</v>
      </c>
      <c r="Q102" s="95">
        <v>1</v>
      </c>
      <c r="R102" s="95">
        <v>1</v>
      </c>
    </row>
    <row r="103" spans="2:18">
      <c r="B103" s="10" t="s">
        <v>738</v>
      </c>
      <c r="C103" s="93">
        <v>2</v>
      </c>
      <c r="D103" s="10" t="s">
        <v>50</v>
      </c>
      <c r="E103" s="24">
        <f t="shared" si="6"/>
        <v>40</v>
      </c>
      <c r="F103" s="24">
        <f t="shared" si="7"/>
        <v>1000</v>
      </c>
      <c r="G103" s="24">
        <v>40</v>
      </c>
      <c r="H103" s="24">
        <v>1000</v>
      </c>
      <c r="I103" s="24">
        <v>40</v>
      </c>
      <c r="J103" s="24">
        <v>400</v>
      </c>
      <c r="K103" s="95">
        <v>0</v>
      </c>
      <c r="L103" s="95">
        <v>0</v>
      </c>
      <c r="M103" s="95">
        <v>0.5</v>
      </c>
      <c r="N103" s="95">
        <v>0.35</v>
      </c>
      <c r="O103" s="95">
        <v>0.5</v>
      </c>
      <c r="P103" s="95">
        <v>0.65</v>
      </c>
      <c r="Q103" s="95">
        <v>1</v>
      </c>
      <c r="R103" s="95">
        <v>1</v>
      </c>
    </row>
    <row r="104" spans="2:18">
      <c r="B104" s="10" t="s">
        <v>249</v>
      </c>
      <c r="C104" s="93">
        <v>2</v>
      </c>
      <c r="D104" s="10" t="s">
        <v>50</v>
      </c>
      <c r="E104" s="24">
        <f t="shared" si="6"/>
        <v>50</v>
      </c>
      <c r="F104" s="24">
        <f t="shared" si="7"/>
        <v>800</v>
      </c>
      <c r="G104" s="24">
        <v>50</v>
      </c>
      <c r="H104" s="24">
        <v>800</v>
      </c>
      <c r="I104" s="24">
        <v>50</v>
      </c>
      <c r="J104" s="24">
        <v>1200</v>
      </c>
      <c r="K104" s="95">
        <v>0</v>
      </c>
      <c r="L104" s="95">
        <v>0</v>
      </c>
      <c r="M104" s="95">
        <v>0.5</v>
      </c>
      <c r="N104" s="95">
        <v>0.35416666666666669</v>
      </c>
      <c r="O104" s="95">
        <v>0.5</v>
      </c>
      <c r="P104" s="95">
        <v>0.64583333333333337</v>
      </c>
      <c r="Q104" s="95">
        <v>1</v>
      </c>
      <c r="R104" s="95">
        <v>1</v>
      </c>
    </row>
    <row r="105" spans="2:18">
      <c r="B105" s="10" t="s">
        <v>255</v>
      </c>
      <c r="C105" s="93">
        <v>2</v>
      </c>
      <c r="D105" s="10" t="s">
        <v>50</v>
      </c>
      <c r="E105" s="24">
        <f t="shared" si="6"/>
        <v>30</v>
      </c>
      <c r="F105" s="24">
        <f t="shared" si="7"/>
        <v>900</v>
      </c>
      <c r="G105" s="24">
        <v>30</v>
      </c>
      <c r="H105" s="24">
        <v>900</v>
      </c>
      <c r="I105" s="24">
        <v>30</v>
      </c>
      <c r="J105" s="24">
        <v>800</v>
      </c>
      <c r="K105" s="95">
        <v>0.01</v>
      </c>
      <c r="L105" s="95">
        <v>2.6250000000000002E-3</v>
      </c>
      <c r="M105" s="95">
        <v>0.5</v>
      </c>
      <c r="N105" s="95">
        <v>0.3125</v>
      </c>
      <c r="O105" s="95">
        <v>0.49</v>
      </c>
      <c r="P105" s="95">
        <v>0.68487500000000001</v>
      </c>
      <c r="Q105" s="95">
        <v>1</v>
      </c>
      <c r="R105" s="95">
        <v>1</v>
      </c>
    </row>
    <row r="106" spans="2:18">
      <c r="B106" s="10" t="s">
        <v>260</v>
      </c>
      <c r="C106" s="93">
        <v>2</v>
      </c>
      <c r="D106" s="10" t="s">
        <v>50</v>
      </c>
      <c r="E106" s="24">
        <f t="shared" si="6"/>
        <v>40</v>
      </c>
      <c r="F106" s="24">
        <f t="shared" si="7"/>
        <v>800</v>
      </c>
      <c r="G106" s="24">
        <v>40</v>
      </c>
      <c r="H106" s="24">
        <v>800</v>
      </c>
      <c r="I106" s="24">
        <v>40</v>
      </c>
      <c r="J106" s="24">
        <v>300</v>
      </c>
      <c r="K106" s="95">
        <v>0</v>
      </c>
      <c r="L106" s="95">
        <v>0</v>
      </c>
      <c r="M106" s="95">
        <v>0.5</v>
      </c>
      <c r="N106" s="95">
        <v>0.83333333333333337</v>
      </c>
      <c r="O106" s="95">
        <v>0.5</v>
      </c>
      <c r="P106" s="95">
        <v>0.16666666666666666</v>
      </c>
      <c r="Q106" s="95">
        <v>1</v>
      </c>
      <c r="R106" s="95">
        <v>1</v>
      </c>
    </row>
    <row r="107" spans="2:18">
      <c r="B107" s="10" t="s">
        <v>263</v>
      </c>
      <c r="C107" s="93">
        <v>2</v>
      </c>
      <c r="D107" s="10" t="s">
        <v>50</v>
      </c>
      <c r="E107" s="24">
        <f t="shared" si="6"/>
        <v>20</v>
      </c>
      <c r="F107" s="24">
        <f t="shared" si="7"/>
        <v>400</v>
      </c>
      <c r="G107" s="24">
        <v>20</v>
      </c>
      <c r="H107" s="24">
        <v>400</v>
      </c>
      <c r="I107" s="24">
        <v>20</v>
      </c>
      <c r="J107" s="24">
        <v>150</v>
      </c>
      <c r="K107" s="95">
        <v>0</v>
      </c>
      <c r="L107" s="95">
        <v>0</v>
      </c>
      <c r="M107" s="95">
        <v>0.5</v>
      </c>
      <c r="N107" s="95">
        <v>0.83333333333333337</v>
      </c>
      <c r="O107" s="95">
        <v>0.5</v>
      </c>
      <c r="P107" s="95">
        <v>0.16666666666666666</v>
      </c>
      <c r="Q107" s="95">
        <v>1</v>
      </c>
      <c r="R107" s="95">
        <v>1</v>
      </c>
    </row>
    <row r="108" spans="2:18">
      <c r="B108" s="10" t="s">
        <v>265</v>
      </c>
      <c r="C108" s="93">
        <v>2</v>
      </c>
      <c r="D108" s="10" t="s">
        <v>50</v>
      </c>
      <c r="E108" s="24">
        <f t="shared" si="6"/>
        <v>15</v>
      </c>
      <c r="F108" s="24">
        <f t="shared" si="7"/>
        <v>450</v>
      </c>
      <c r="G108" s="24">
        <v>15</v>
      </c>
      <c r="H108" s="24">
        <v>450</v>
      </c>
      <c r="I108" s="24">
        <v>15</v>
      </c>
      <c r="J108" s="24">
        <v>400</v>
      </c>
      <c r="K108" s="95">
        <v>0</v>
      </c>
      <c r="L108" s="95">
        <v>0</v>
      </c>
      <c r="M108" s="95">
        <v>0.46666666666666667</v>
      </c>
      <c r="N108" s="95">
        <v>0.3</v>
      </c>
      <c r="O108" s="95">
        <v>0.53333333333333333</v>
      </c>
      <c r="P108" s="95">
        <v>0.7</v>
      </c>
      <c r="Q108" s="95">
        <v>1</v>
      </c>
      <c r="R108" s="95">
        <v>1</v>
      </c>
    </row>
    <row r="109" spans="2:18">
      <c r="B109" s="10" t="s">
        <v>742</v>
      </c>
      <c r="C109" s="93">
        <v>2</v>
      </c>
      <c r="D109" s="10" t="s">
        <v>50</v>
      </c>
      <c r="E109" s="24">
        <f t="shared" si="6"/>
        <v>20</v>
      </c>
      <c r="F109" s="24">
        <f t="shared" si="7"/>
        <v>600</v>
      </c>
      <c r="G109" s="24">
        <v>20</v>
      </c>
      <c r="H109" s="24">
        <v>600</v>
      </c>
      <c r="I109" s="24">
        <v>20</v>
      </c>
      <c r="J109" s="24">
        <v>300</v>
      </c>
      <c r="K109" s="95">
        <v>0</v>
      </c>
      <c r="L109" s="95">
        <v>0</v>
      </c>
      <c r="M109" s="95">
        <v>0.5</v>
      </c>
      <c r="N109" s="95">
        <v>0.5</v>
      </c>
      <c r="O109" s="95">
        <v>0.5</v>
      </c>
      <c r="P109" s="95">
        <v>0.5</v>
      </c>
      <c r="Q109" s="95">
        <v>1</v>
      </c>
      <c r="R109" s="95">
        <v>1</v>
      </c>
    </row>
    <row r="110" spans="2:18">
      <c r="B110" s="10" t="s">
        <v>268</v>
      </c>
      <c r="C110" s="93">
        <v>2</v>
      </c>
      <c r="D110" s="10" t="s">
        <v>50</v>
      </c>
      <c r="E110" s="24">
        <f t="shared" si="6"/>
        <v>200</v>
      </c>
      <c r="F110" s="24">
        <f t="shared" si="7"/>
        <v>2000</v>
      </c>
      <c r="G110" s="24">
        <v>200</v>
      </c>
      <c r="H110" s="24">
        <v>2000</v>
      </c>
      <c r="I110" s="24">
        <v>200</v>
      </c>
      <c r="J110" s="24">
        <v>1200</v>
      </c>
      <c r="K110" s="95">
        <v>0</v>
      </c>
      <c r="L110" s="95">
        <v>0</v>
      </c>
      <c r="M110" s="95">
        <v>0.5</v>
      </c>
      <c r="N110" s="95">
        <v>0.14166666666666666</v>
      </c>
      <c r="O110" s="95">
        <v>0.5</v>
      </c>
      <c r="P110" s="95">
        <v>0.85833333333333328</v>
      </c>
      <c r="Q110" s="95">
        <v>1</v>
      </c>
      <c r="R110" s="95">
        <v>1</v>
      </c>
    </row>
    <row r="111" spans="2:18">
      <c r="B111" s="10" t="s">
        <v>745</v>
      </c>
      <c r="C111" s="93">
        <v>2</v>
      </c>
      <c r="D111" s="10" t="s">
        <v>50</v>
      </c>
      <c r="E111" s="24">
        <f t="shared" si="6"/>
        <v>60</v>
      </c>
      <c r="F111" s="24">
        <f t="shared" si="7"/>
        <v>1800</v>
      </c>
      <c r="G111" s="24">
        <v>60</v>
      </c>
      <c r="H111" s="24">
        <v>1800</v>
      </c>
      <c r="I111" s="24">
        <v>60</v>
      </c>
      <c r="J111" s="24">
        <v>1500</v>
      </c>
      <c r="K111" s="95">
        <v>0</v>
      </c>
      <c r="L111" s="95">
        <v>0</v>
      </c>
      <c r="M111" s="95">
        <v>0.5</v>
      </c>
      <c r="N111" s="95">
        <v>0.36666666666666664</v>
      </c>
      <c r="O111" s="95">
        <v>0.5</v>
      </c>
      <c r="P111" s="95">
        <v>0.6333333333333333</v>
      </c>
      <c r="Q111" s="95">
        <v>1</v>
      </c>
      <c r="R111" s="95">
        <v>1</v>
      </c>
    </row>
    <row r="112" spans="2:18">
      <c r="B112" s="10" t="s">
        <v>489</v>
      </c>
      <c r="C112" s="93">
        <v>2</v>
      </c>
      <c r="D112" s="10" t="s">
        <v>50</v>
      </c>
      <c r="E112" s="24">
        <f t="shared" si="6"/>
        <v>200</v>
      </c>
      <c r="F112" s="24">
        <f t="shared" si="7"/>
        <v>16500</v>
      </c>
      <c r="G112" s="24">
        <v>200</v>
      </c>
      <c r="H112" s="24">
        <v>16500</v>
      </c>
      <c r="I112" s="24">
        <v>200</v>
      </c>
      <c r="J112" s="24">
        <v>3320</v>
      </c>
      <c r="K112" s="95">
        <v>0</v>
      </c>
      <c r="L112" s="95">
        <v>0</v>
      </c>
      <c r="M112" s="95">
        <v>0.48</v>
      </c>
      <c r="N112" s="95">
        <v>0.48</v>
      </c>
      <c r="O112" s="95">
        <v>0.52</v>
      </c>
      <c r="P112" s="95">
        <v>0.52</v>
      </c>
      <c r="Q112" s="95">
        <v>1</v>
      </c>
      <c r="R112" s="95">
        <v>1</v>
      </c>
    </row>
    <row r="113" spans="2:18">
      <c r="B113" s="10" t="s">
        <v>202</v>
      </c>
      <c r="C113" s="93">
        <v>7</v>
      </c>
      <c r="D113" s="10" t="s">
        <v>36</v>
      </c>
      <c r="E113" s="24">
        <f t="shared" si="6"/>
        <v>1080000</v>
      </c>
      <c r="F113" s="24">
        <f t="shared" si="7"/>
        <v>30000000</v>
      </c>
      <c r="G113" s="24">
        <v>1080000</v>
      </c>
      <c r="H113" s="24">
        <v>30000000</v>
      </c>
      <c r="I113" s="24">
        <v>800000</v>
      </c>
      <c r="J113" s="24">
        <v>80000</v>
      </c>
      <c r="K113" s="95">
        <v>0.5625</v>
      </c>
      <c r="L113" s="95">
        <v>0.5625</v>
      </c>
      <c r="M113" s="95">
        <v>0.05</v>
      </c>
      <c r="N113" s="95">
        <v>0.05</v>
      </c>
      <c r="O113" s="95">
        <v>0.38750000000000001</v>
      </c>
      <c r="P113" s="95">
        <v>0.38750000000000001</v>
      </c>
      <c r="Q113" s="95">
        <v>1</v>
      </c>
      <c r="R113" s="95">
        <v>1</v>
      </c>
    </row>
    <row r="114" spans="2:18">
      <c r="B114" s="10" t="s">
        <v>207</v>
      </c>
      <c r="C114" s="93">
        <v>6</v>
      </c>
      <c r="D114" s="10" t="s">
        <v>36</v>
      </c>
      <c r="E114" s="24">
        <f t="shared" si="6"/>
        <v>130000</v>
      </c>
      <c r="F114" s="24">
        <f t="shared" si="7"/>
        <v>2440000</v>
      </c>
      <c r="G114" s="24">
        <v>130000</v>
      </c>
      <c r="H114" s="24">
        <v>2440000</v>
      </c>
      <c r="I114" s="24">
        <v>50000</v>
      </c>
      <c r="J114" s="24">
        <v>120000</v>
      </c>
      <c r="K114" s="95">
        <v>0.56999999999999995</v>
      </c>
      <c r="L114" s="95">
        <v>0.56999999999999995</v>
      </c>
      <c r="M114" s="95">
        <v>0.12</v>
      </c>
      <c r="N114" s="95">
        <v>0.12000000000000001</v>
      </c>
      <c r="O114" s="95">
        <v>0.31000000000000005</v>
      </c>
      <c r="P114" s="95">
        <v>0.31</v>
      </c>
      <c r="Q114" s="95">
        <v>1</v>
      </c>
      <c r="R114" s="95">
        <v>1</v>
      </c>
    </row>
    <row r="115" spans="2:18">
      <c r="B115" s="10" t="s">
        <v>725</v>
      </c>
      <c r="C115" s="93">
        <v>2</v>
      </c>
      <c r="D115" s="10" t="s">
        <v>36</v>
      </c>
      <c r="E115" s="24">
        <f t="shared" si="6"/>
        <v>200</v>
      </c>
      <c r="F115" s="24">
        <f t="shared" si="7"/>
        <v>6500</v>
      </c>
      <c r="G115" s="24">
        <v>200</v>
      </c>
      <c r="H115" s="24">
        <v>6500</v>
      </c>
      <c r="I115" s="24">
        <v>200</v>
      </c>
      <c r="J115" s="24">
        <v>5000</v>
      </c>
      <c r="K115" s="95">
        <v>0</v>
      </c>
      <c r="L115" s="95">
        <v>0</v>
      </c>
      <c r="M115" s="95">
        <v>0.5</v>
      </c>
      <c r="N115" s="95">
        <v>0.5</v>
      </c>
      <c r="O115" s="95">
        <v>0.5</v>
      </c>
      <c r="P115" s="95">
        <v>0.5</v>
      </c>
      <c r="Q115" s="95">
        <v>1</v>
      </c>
      <c r="R115" s="95">
        <v>1</v>
      </c>
    </row>
    <row r="116" spans="2:18">
      <c r="B116" s="10" t="s">
        <v>56</v>
      </c>
      <c r="C116" s="93">
        <v>2</v>
      </c>
      <c r="D116" s="10" t="s">
        <v>36</v>
      </c>
      <c r="E116" s="24">
        <f t="shared" si="6"/>
        <v>400</v>
      </c>
      <c r="F116" s="24">
        <f t="shared" si="7"/>
        <v>12000</v>
      </c>
      <c r="G116" s="24">
        <v>400</v>
      </c>
      <c r="H116" s="24">
        <v>12000</v>
      </c>
      <c r="I116" s="24">
        <v>400</v>
      </c>
      <c r="J116" s="24">
        <v>9000</v>
      </c>
      <c r="K116" s="95">
        <v>0</v>
      </c>
      <c r="L116" s="95">
        <v>0</v>
      </c>
      <c r="M116" s="95">
        <v>0.5</v>
      </c>
      <c r="N116" s="95">
        <v>0.5</v>
      </c>
      <c r="O116" s="95">
        <v>0.5</v>
      </c>
      <c r="P116" s="95">
        <v>0.5</v>
      </c>
      <c r="Q116" s="95">
        <v>1</v>
      </c>
      <c r="R116" s="95">
        <v>1</v>
      </c>
    </row>
    <row r="117" spans="2:18">
      <c r="B117" s="10" t="s">
        <v>223</v>
      </c>
      <c r="C117" s="93">
        <v>2</v>
      </c>
      <c r="D117" s="10" t="s">
        <v>36</v>
      </c>
      <c r="E117" s="24">
        <f t="shared" si="6"/>
        <v>300</v>
      </c>
      <c r="F117" s="24">
        <f t="shared" si="7"/>
        <v>15000</v>
      </c>
      <c r="G117" s="24">
        <v>300</v>
      </c>
      <c r="H117" s="24">
        <v>15000</v>
      </c>
      <c r="I117" s="24">
        <v>300</v>
      </c>
      <c r="J117" s="24">
        <v>12000</v>
      </c>
      <c r="K117" s="95">
        <v>0</v>
      </c>
      <c r="L117" s="95">
        <v>0</v>
      </c>
      <c r="M117" s="95">
        <v>0.5</v>
      </c>
      <c r="N117" s="95">
        <v>0.41666666666666669</v>
      </c>
      <c r="O117" s="95">
        <v>0.5</v>
      </c>
      <c r="P117" s="95">
        <v>0.58333333333333337</v>
      </c>
      <c r="Q117" s="95">
        <v>1</v>
      </c>
      <c r="R117" s="95">
        <v>1</v>
      </c>
    </row>
    <row r="118" spans="2:18">
      <c r="B118" s="10" t="s">
        <v>231</v>
      </c>
      <c r="C118" s="93">
        <v>2</v>
      </c>
      <c r="D118" s="10" t="s">
        <v>36</v>
      </c>
      <c r="E118" s="24">
        <f t="shared" si="6"/>
        <v>40</v>
      </c>
      <c r="F118" s="24">
        <f t="shared" si="7"/>
        <v>600</v>
      </c>
      <c r="G118" s="24">
        <v>40</v>
      </c>
      <c r="H118" s="24">
        <v>600</v>
      </c>
      <c r="I118" s="24">
        <v>40</v>
      </c>
      <c r="J118" s="24">
        <v>600</v>
      </c>
      <c r="K118" s="95">
        <v>0.01</v>
      </c>
      <c r="L118" s="95">
        <v>1.32E-2</v>
      </c>
      <c r="M118" s="95">
        <v>0.5</v>
      </c>
      <c r="N118" s="95">
        <v>0.5</v>
      </c>
      <c r="O118" s="95">
        <v>0.49000000000000005</v>
      </c>
      <c r="P118" s="95">
        <v>0.48679999999999995</v>
      </c>
      <c r="Q118" s="95">
        <v>1</v>
      </c>
      <c r="R118" s="95">
        <v>1</v>
      </c>
    </row>
    <row r="119" spans="2:18">
      <c r="B119" s="10" t="s">
        <v>743</v>
      </c>
      <c r="C119" s="93">
        <v>2</v>
      </c>
      <c r="D119" s="10" t="s">
        <v>36</v>
      </c>
      <c r="E119" s="24">
        <f t="shared" si="6"/>
        <v>16</v>
      </c>
      <c r="F119" s="24">
        <f t="shared" si="7"/>
        <v>150</v>
      </c>
      <c r="G119" s="24">
        <v>16</v>
      </c>
      <c r="H119" s="24">
        <v>150</v>
      </c>
      <c r="I119" s="24">
        <v>16</v>
      </c>
      <c r="J119" s="24">
        <v>120</v>
      </c>
      <c r="K119" s="95">
        <v>0</v>
      </c>
      <c r="L119" s="95">
        <v>0</v>
      </c>
      <c r="M119" s="95">
        <v>0.5</v>
      </c>
      <c r="N119" s="95">
        <v>0.5</v>
      </c>
      <c r="O119" s="95">
        <v>0.5</v>
      </c>
      <c r="P119" s="95">
        <v>0.5</v>
      </c>
      <c r="Q119" s="95">
        <v>1</v>
      </c>
      <c r="R119" s="95">
        <v>1</v>
      </c>
    </row>
    <row r="120" spans="2:18">
      <c r="B120" s="10" t="s">
        <v>55</v>
      </c>
      <c r="C120" s="93">
        <v>2</v>
      </c>
      <c r="D120" s="10" t="s">
        <v>51</v>
      </c>
      <c r="E120" s="24">
        <f t="shared" si="6"/>
        <v>70</v>
      </c>
      <c r="F120" s="24">
        <f t="shared" si="7"/>
        <v>1100</v>
      </c>
      <c r="G120" s="24">
        <v>70</v>
      </c>
      <c r="H120" s="24">
        <v>1100</v>
      </c>
      <c r="I120" s="24">
        <v>45</v>
      </c>
      <c r="J120" s="24">
        <v>270</v>
      </c>
      <c r="K120" s="95">
        <v>0</v>
      </c>
      <c r="L120" s="95">
        <v>0</v>
      </c>
      <c r="M120" s="95">
        <v>0.48888888888888887</v>
      </c>
      <c r="N120" s="95">
        <v>0.5</v>
      </c>
      <c r="O120" s="95">
        <v>0.51111111111111107</v>
      </c>
      <c r="P120" s="95">
        <v>0.5</v>
      </c>
      <c r="Q120" s="95">
        <v>1</v>
      </c>
      <c r="R120" s="95">
        <v>1</v>
      </c>
    </row>
    <row r="121" spans="2:18">
      <c r="B121" s="10" t="s">
        <v>208</v>
      </c>
      <c r="C121" s="93">
        <v>4</v>
      </c>
      <c r="D121" s="10" t="s">
        <v>51</v>
      </c>
      <c r="E121" s="24">
        <f t="shared" si="6"/>
        <v>500000</v>
      </c>
      <c r="F121" s="24">
        <f t="shared" si="7"/>
        <v>5500000</v>
      </c>
      <c r="G121" s="24">
        <v>500000</v>
      </c>
      <c r="H121" s="24">
        <v>5500000</v>
      </c>
      <c r="I121" s="24">
        <v>250000</v>
      </c>
      <c r="J121" s="24">
        <v>550000</v>
      </c>
      <c r="K121" s="95">
        <v>0.84</v>
      </c>
      <c r="L121" s="95">
        <v>0.89636363636363636</v>
      </c>
      <c r="M121" s="95">
        <v>0.02</v>
      </c>
      <c r="N121" s="95">
        <v>2.181818181818182E-2</v>
      </c>
      <c r="O121" s="95">
        <v>0.14000000000000001</v>
      </c>
      <c r="P121" s="95">
        <v>8.1818181818181818E-2</v>
      </c>
      <c r="Q121" s="95">
        <v>1</v>
      </c>
      <c r="R121" s="95">
        <v>1</v>
      </c>
    </row>
    <row r="122" spans="2:18">
      <c r="B122" s="10" t="s">
        <v>471</v>
      </c>
      <c r="C122" s="93">
        <v>2</v>
      </c>
      <c r="D122" s="10" t="s">
        <v>51</v>
      </c>
      <c r="E122" s="24">
        <f t="shared" si="6"/>
        <v>50</v>
      </c>
      <c r="F122" s="24">
        <f t="shared" si="7"/>
        <v>3250</v>
      </c>
      <c r="G122" s="24">
        <v>50</v>
      </c>
      <c r="H122" s="24">
        <v>3250</v>
      </c>
      <c r="I122" s="24">
        <v>50</v>
      </c>
      <c r="J122" s="24">
        <v>2500</v>
      </c>
      <c r="K122" s="95">
        <v>0</v>
      </c>
      <c r="L122" s="95">
        <v>0.5</v>
      </c>
      <c r="M122" s="95">
        <v>0.5</v>
      </c>
      <c r="N122" s="95">
        <v>0</v>
      </c>
      <c r="O122" s="95">
        <v>0.5</v>
      </c>
      <c r="P122" s="95">
        <v>0.5</v>
      </c>
      <c r="Q122" s="95">
        <v>1</v>
      </c>
      <c r="R122" s="95">
        <v>1</v>
      </c>
    </row>
    <row r="123" spans="2:18">
      <c r="B123" s="10" t="s">
        <v>214</v>
      </c>
      <c r="C123" s="93">
        <v>3</v>
      </c>
      <c r="D123" s="10" t="s">
        <v>51</v>
      </c>
      <c r="E123" s="24">
        <f t="shared" si="6"/>
        <v>6800</v>
      </c>
      <c r="F123" s="24">
        <f t="shared" si="7"/>
        <v>16400</v>
      </c>
      <c r="G123" s="24">
        <v>6800</v>
      </c>
      <c r="H123" s="24">
        <v>16400</v>
      </c>
      <c r="I123" s="24">
        <v>6800</v>
      </c>
      <c r="J123" s="24">
        <v>10004</v>
      </c>
      <c r="K123" s="95">
        <v>0.76941176470588235</v>
      </c>
      <c r="L123" s="95">
        <v>1</v>
      </c>
      <c r="M123" s="95">
        <v>0</v>
      </c>
      <c r="N123" s="95">
        <v>0</v>
      </c>
      <c r="O123" s="95">
        <v>0.23058823529411765</v>
      </c>
      <c r="P123" s="95">
        <v>0</v>
      </c>
      <c r="Q123" s="95">
        <v>1</v>
      </c>
      <c r="R123" s="95">
        <v>1</v>
      </c>
    </row>
    <row r="124" spans="2:18">
      <c r="B124" s="10" t="s">
        <v>711</v>
      </c>
      <c r="C124" s="93">
        <v>2</v>
      </c>
      <c r="D124" s="10" t="s">
        <v>51</v>
      </c>
      <c r="E124" s="24">
        <f t="shared" si="6"/>
        <v>240</v>
      </c>
      <c r="F124" s="24">
        <f t="shared" si="7"/>
        <v>17000</v>
      </c>
      <c r="G124" s="24">
        <v>240</v>
      </c>
      <c r="H124" s="24">
        <v>17000</v>
      </c>
      <c r="I124" s="24">
        <v>240</v>
      </c>
      <c r="J124" s="24">
        <v>3000</v>
      </c>
      <c r="K124" s="95">
        <v>0</v>
      </c>
      <c r="L124" s="95">
        <v>0</v>
      </c>
      <c r="M124" s="95">
        <v>0.5</v>
      </c>
      <c r="N124" s="95">
        <v>0.4</v>
      </c>
      <c r="O124" s="95">
        <v>0.5</v>
      </c>
      <c r="P124" s="95">
        <v>0.6</v>
      </c>
      <c r="Q124" s="95">
        <v>1</v>
      </c>
      <c r="R124" s="95">
        <v>1</v>
      </c>
    </row>
    <row r="125" spans="2:18">
      <c r="B125" s="10" t="s">
        <v>712</v>
      </c>
      <c r="C125" s="93">
        <v>2</v>
      </c>
      <c r="D125" s="10" t="s">
        <v>51</v>
      </c>
      <c r="E125" s="24">
        <f t="shared" si="6"/>
        <v>120</v>
      </c>
      <c r="F125" s="24">
        <f t="shared" si="7"/>
        <v>5000</v>
      </c>
      <c r="G125" s="24">
        <v>120</v>
      </c>
      <c r="H125" s="24">
        <v>5000</v>
      </c>
      <c r="I125" s="24">
        <v>120</v>
      </c>
      <c r="J125" s="24">
        <v>1500</v>
      </c>
      <c r="K125" s="95">
        <v>1.1666666666666667E-2</v>
      </c>
      <c r="L125" s="95">
        <v>0.01</v>
      </c>
      <c r="M125" s="95">
        <v>0.49</v>
      </c>
      <c r="N125" s="95">
        <v>0.42</v>
      </c>
      <c r="O125" s="95">
        <v>0.49833333333333335</v>
      </c>
      <c r="P125" s="95">
        <v>0.56999999999999995</v>
      </c>
      <c r="Q125" s="95">
        <v>1</v>
      </c>
      <c r="R125" s="95">
        <v>1</v>
      </c>
    </row>
    <row r="126" spans="2:18">
      <c r="B126" s="10" t="s">
        <v>713</v>
      </c>
      <c r="C126" s="93">
        <v>2</v>
      </c>
      <c r="D126" s="10" t="s">
        <v>51</v>
      </c>
      <c r="E126" s="24">
        <f t="shared" si="6"/>
        <v>120</v>
      </c>
      <c r="F126" s="24">
        <f t="shared" si="7"/>
        <v>6000</v>
      </c>
      <c r="G126" s="24">
        <v>120</v>
      </c>
      <c r="H126" s="24">
        <v>6000</v>
      </c>
      <c r="I126" s="24">
        <v>120</v>
      </c>
      <c r="J126" s="24">
        <v>1500</v>
      </c>
      <c r="K126" s="95">
        <v>0.61486486486486491</v>
      </c>
      <c r="L126" s="95">
        <v>0.52702702702702708</v>
      </c>
      <c r="M126" s="95">
        <v>0.18130630630630634</v>
      </c>
      <c r="N126" s="95">
        <v>0.15540540540540543</v>
      </c>
      <c r="O126" s="95">
        <v>0.20382882882882877</v>
      </c>
      <c r="P126" s="95">
        <v>0.31756756756756749</v>
      </c>
      <c r="Q126" s="95">
        <v>1</v>
      </c>
      <c r="R126" s="95">
        <v>1</v>
      </c>
    </row>
    <row r="127" spans="2:18">
      <c r="B127" s="10" t="s">
        <v>714</v>
      </c>
      <c r="C127" s="93">
        <v>2</v>
      </c>
      <c r="D127" s="10" t="s">
        <v>51</v>
      </c>
      <c r="E127" s="24">
        <f t="shared" si="6"/>
        <v>6</v>
      </c>
      <c r="F127" s="24">
        <f t="shared" si="7"/>
        <v>400</v>
      </c>
      <c r="G127" s="24">
        <v>6</v>
      </c>
      <c r="H127" s="24">
        <v>400</v>
      </c>
      <c r="I127" s="24">
        <v>6</v>
      </c>
      <c r="J127" s="24">
        <v>200</v>
      </c>
      <c r="K127" s="95">
        <v>0</v>
      </c>
      <c r="L127" s="95">
        <v>0</v>
      </c>
      <c r="M127" s="95">
        <v>1</v>
      </c>
      <c r="N127" s="95">
        <v>0.5</v>
      </c>
      <c r="O127" s="95">
        <v>0</v>
      </c>
      <c r="P127" s="95">
        <v>0.5</v>
      </c>
      <c r="Q127" s="95">
        <v>1</v>
      </c>
      <c r="R127" s="95">
        <v>1</v>
      </c>
    </row>
    <row r="128" spans="2:18">
      <c r="B128" s="10" t="s">
        <v>224</v>
      </c>
      <c r="C128" s="93">
        <v>2</v>
      </c>
      <c r="D128" s="10" t="s">
        <v>51</v>
      </c>
      <c r="E128" s="24">
        <f t="shared" si="6"/>
        <v>120</v>
      </c>
      <c r="F128" s="24">
        <f t="shared" si="7"/>
        <v>3000</v>
      </c>
      <c r="G128" s="24">
        <v>120</v>
      </c>
      <c r="H128" s="24">
        <v>3000</v>
      </c>
      <c r="I128" s="24">
        <v>120</v>
      </c>
      <c r="J128" s="24">
        <v>2000</v>
      </c>
      <c r="K128" s="95">
        <v>0</v>
      </c>
      <c r="L128" s="95">
        <v>0</v>
      </c>
      <c r="M128" s="95">
        <v>0.5</v>
      </c>
      <c r="N128" s="95">
        <v>0.45</v>
      </c>
      <c r="O128" s="95">
        <v>0.5</v>
      </c>
      <c r="P128" s="95">
        <v>0.55000000000000004</v>
      </c>
      <c r="Q128" s="95">
        <v>1</v>
      </c>
      <c r="R128" s="95">
        <v>1</v>
      </c>
    </row>
    <row r="129" spans="2:18">
      <c r="B129" s="10" t="s">
        <v>717</v>
      </c>
      <c r="C129" s="93">
        <v>2</v>
      </c>
      <c r="D129" s="10" t="s">
        <v>51</v>
      </c>
      <c r="E129" s="24">
        <f t="shared" si="6"/>
        <v>50</v>
      </c>
      <c r="F129" s="24">
        <f t="shared" si="7"/>
        <v>750</v>
      </c>
      <c r="G129" s="24">
        <v>50</v>
      </c>
      <c r="H129" s="24">
        <v>750</v>
      </c>
      <c r="I129" s="24">
        <v>50</v>
      </c>
      <c r="J129" s="24">
        <v>150</v>
      </c>
      <c r="K129" s="95">
        <v>0</v>
      </c>
      <c r="L129" s="95">
        <v>0</v>
      </c>
      <c r="M129" s="95">
        <v>0.5</v>
      </c>
      <c r="N129" s="95">
        <v>0.5</v>
      </c>
      <c r="O129" s="95">
        <v>0.5</v>
      </c>
      <c r="P129" s="95">
        <v>0.5</v>
      </c>
      <c r="Q129" s="95">
        <v>1</v>
      </c>
      <c r="R129" s="95">
        <v>1</v>
      </c>
    </row>
    <row r="130" spans="2:18">
      <c r="B130" s="10" t="s">
        <v>720</v>
      </c>
      <c r="C130" s="93">
        <v>2</v>
      </c>
      <c r="D130" s="10" t="s">
        <v>51</v>
      </c>
      <c r="E130" s="24">
        <f t="shared" ref="E130:E161" si="8">IF($T$2=1,G130,I130)</f>
        <v>14404.732462390384</v>
      </c>
      <c r="F130" s="24">
        <f t="shared" ref="F130:F161" si="9">IF($T$2=1,H130,J130)</f>
        <v>3000</v>
      </c>
      <c r="G130" s="24">
        <v>14404.732462390384</v>
      </c>
      <c r="H130" s="24">
        <v>3000</v>
      </c>
      <c r="I130" s="24">
        <v>7202.8460575307054</v>
      </c>
      <c r="J130" s="24">
        <v>400</v>
      </c>
      <c r="K130" s="95">
        <v>0.89237953386846858</v>
      </c>
      <c r="L130" s="95">
        <v>0</v>
      </c>
      <c r="M130" s="95">
        <v>1.4518871637191818E-2</v>
      </c>
      <c r="N130" s="95">
        <v>0.5</v>
      </c>
      <c r="O130" s="95">
        <v>9.3101594494339662E-2</v>
      </c>
      <c r="P130" s="95">
        <v>0.5</v>
      </c>
      <c r="Q130" s="95">
        <v>1</v>
      </c>
      <c r="R130" s="95">
        <v>1</v>
      </c>
    </row>
    <row r="131" spans="2:18">
      <c r="B131" s="10" t="s">
        <v>479</v>
      </c>
      <c r="C131" s="93">
        <v>2</v>
      </c>
      <c r="D131" s="10" t="s">
        <v>51</v>
      </c>
      <c r="E131" s="24">
        <f t="shared" si="8"/>
        <v>1625</v>
      </c>
      <c r="F131" s="24">
        <f t="shared" si="9"/>
        <v>125000</v>
      </c>
      <c r="G131" s="24">
        <v>1625</v>
      </c>
      <c r="H131" s="24">
        <v>125000</v>
      </c>
      <c r="I131" s="24">
        <v>150</v>
      </c>
      <c r="J131" s="24">
        <v>2550</v>
      </c>
      <c r="K131" s="95">
        <v>0</v>
      </c>
      <c r="L131" s="95">
        <v>0</v>
      </c>
      <c r="M131" s="95">
        <v>0.66666666666666663</v>
      </c>
      <c r="N131" s="95">
        <v>0</v>
      </c>
      <c r="O131" s="95">
        <v>0.33333333333333331</v>
      </c>
      <c r="P131" s="95">
        <v>1</v>
      </c>
      <c r="Q131" s="95">
        <v>1</v>
      </c>
      <c r="R131" s="95">
        <v>1</v>
      </c>
    </row>
    <row r="132" spans="2:18">
      <c r="B132" s="10" t="s">
        <v>481</v>
      </c>
      <c r="C132" s="93">
        <v>4</v>
      </c>
      <c r="D132" s="10" t="s">
        <v>51</v>
      </c>
      <c r="E132" s="24">
        <f t="shared" si="8"/>
        <v>11000</v>
      </c>
      <c r="F132" s="24">
        <f t="shared" si="9"/>
        <v>80000</v>
      </c>
      <c r="G132" s="24">
        <v>11000</v>
      </c>
      <c r="H132" s="24">
        <v>80000</v>
      </c>
      <c r="I132" s="24">
        <v>4500</v>
      </c>
      <c r="J132" s="24">
        <v>15000</v>
      </c>
      <c r="K132" s="95">
        <v>0.6</v>
      </c>
      <c r="L132" s="95">
        <v>0.3</v>
      </c>
      <c r="M132" s="95">
        <v>0</v>
      </c>
      <c r="N132" s="95">
        <v>0</v>
      </c>
      <c r="O132" s="95">
        <v>0.4</v>
      </c>
      <c r="P132" s="95">
        <v>0.7</v>
      </c>
      <c r="Q132" s="95">
        <v>1</v>
      </c>
      <c r="R132" s="95">
        <v>1</v>
      </c>
    </row>
    <row r="133" spans="2:18">
      <c r="B133" s="10" t="s">
        <v>723</v>
      </c>
      <c r="C133" s="93">
        <v>4</v>
      </c>
      <c r="D133" s="10" t="s">
        <v>51</v>
      </c>
      <c r="E133" s="24">
        <f t="shared" si="8"/>
        <v>11000</v>
      </c>
      <c r="F133" s="24">
        <f t="shared" si="9"/>
        <v>80000</v>
      </c>
      <c r="G133" s="24">
        <v>11000</v>
      </c>
      <c r="H133" s="24">
        <v>80000</v>
      </c>
      <c r="I133" s="24">
        <v>4500</v>
      </c>
      <c r="J133" s="24">
        <v>15000</v>
      </c>
      <c r="K133" s="95">
        <v>0.6</v>
      </c>
      <c r="L133" s="95">
        <v>0.3</v>
      </c>
      <c r="M133" s="95">
        <v>0</v>
      </c>
      <c r="N133" s="95">
        <v>0</v>
      </c>
      <c r="O133" s="95">
        <v>0.4</v>
      </c>
      <c r="P133" s="95">
        <v>0.7</v>
      </c>
      <c r="Q133" s="95">
        <v>1</v>
      </c>
      <c r="R133" s="95">
        <v>1</v>
      </c>
    </row>
    <row r="134" spans="2:18">
      <c r="B134" s="10" t="s">
        <v>726</v>
      </c>
      <c r="C134" s="93">
        <v>4</v>
      </c>
      <c r="D134" s="10" t="s">
        <v>51</v>
      </c>
      <c r="E134" s="24">
        <f t="shared" si="8"/>
        <v>14000</v>
      </c>
      <c r="F134" s="24">
        <f t="shared" si="9"/>
        <v>200000</v>
      </c>
      <c r="G134" s="24">
        <v>14000</v>
      </c>
      <c r="H134" s="24">
        <v>200000</v>
      </c>
      <c r="I134" s="24">
        <v>2000</v>
      </c>
      <c r="J134" s="24">
        <v>25000</v>
      </c>
      <c r="K134" s="95">
        <v>0.05</v>
      </c>
      <c r="L134" s="95">
        <v>0.04</v>
      </c>
      <c r="M134" s="95">
        <v>0.25</v>
      </c>
      <c r="N134" s="95">
        <v>0.2</v>
      </c>
      <c r="O134" s="95">
        <v>0.7</v>
      </c>
      <c r="P134" s="95">
        <v>0.76</v>
      </c>
      <c r="Q134" s="95">
        <v>1</v>
      </c>
      <c r="R134" s="95">
        <v>1</v>
      </c>
    </row>
    <row r="135" spans="2:18">
      <c r="B135" s="10" t="s">
        <v>734</v>
      </c>
      <c r="C135" s="93">
        <v>2</v>
      </c>
      <c r="D135" s="10" t="s">
        <v>51</v>
      </c>
      <c r="E135" s="24">
        <f t="shared" si="8"/>
        <v>70</v>
      </c>
      <c r="F135" s="24">
        <f t="shared" si="9"/>
        <v>1000</v>
      </c>
      <c r="G135" s="24">
        <v>70</v>
      </c>
      <c r="H135" s="24">
        <v>1000</v>
      </c>
      <c r="I135" s="24">
        <v>70</v>
      </c>
      <c r="J135" s="24">
        <v>700</v>
      </c>
      <c r="K135" s="95">
        <v>0</v>
      </c>
      <c r="L135" s="95">
        <v>0</v>
      </c>
      <c r="M135" s="95">
        <v>0.5</v>
      </c>
      <c r="N135" s="95">
        <v>0.5</v>
      </c>
      <c r="O135" s="95">
        <v>0.5</v>
      </c>
      <c r="P135" s="95">
        <v>0.5</v>
      </c>
      <c r="Q135" s="95">
        <v>1</v>
      </c>
      <c r="R135" s="95">
        <v>1</v>
      </c>
    </row>
    <row r="136" spans="2:18">
      <c r="B136" s="10" t="s">
        <v>60</v>
      </c>
      <c r="C136" s="93">
        <v>2</v>
      </c>
      <c r="D136" s="10" t="s">
        <v>51</v>
      </c>
      <c r="E136" s="24">
        <f t="shared" si="8"/>
        <v>75</v>
      </c>
      <c r="F136" s="24">
        <f t="shared" si="9"/>
        <v>1300</v>
      </c>
      <c r="G136" s="24">
        <v>75</v>
      </c>
      <c r="H136" s="24">
        <v>1300</v>
      </c>
      <c r="I136" s="24">
        <v>75</v>
      </c>
      <c r="J136" s="24">
        <v>1000</v>
      </c>
      <c r="K136" s="95">
        <v>0</v>
      </c>
      <c r="L136" s="95">
        <v>0</v>
      </c>
      <c r="M136" s="95">
        <v>0.49333333333333335</v>
      </c>
      <c r="N136" s="95">
        <v>0.4</v>
      </c>
      <c r="O136" s="95">
        <v>0.50666666666666671</v>
      </c>
      <c r="P136" s="95">
        <v>0.6</v>
      </c>
      <c r="Q136" s="95">
        <v>1</v>
      </c>
      <c r="R136" s="95">
        <v>1</v>
      </c>
    </row>
    <row r="137" spans="2:18">
      <c r="B137" s="10" t="s">
        <v>740</v>
      </c>
      <c r="C137" s="93">
        <v>3</v>
      </c>
      <c r="D137" s="10" t="s">
        <v>51</v>
      </c>
      <c r="E137" s="24">
        <f t="shared" si="8"/>
        <v>23000</v>
      </c>
      <c r="F137" s="24">
        <f t="shared" si="9"/>
        <v>700000</v>
      </c>
      <c r="G137" s="24">
        <v>23000</v>
      </c>
      <c r="H137" s="24">
        <v>700000</v>
      </c>
      <c r="I137" s="24">
        <v>15000</v>
      </c>
      <c r="J137" s="24">
        <v>100000</v>
      </c>
      <c r="K137" s="95">
        <v>6.6666666666666671E-3</v>
      </c>
      <c r="L137" s="95">
        <v>0.1</v>
      </c>
      <c r="M137" s="95">
        <v>6.6666666666666666E-2</v>
      </c>
      <c r="N137" s="95">
        <v>0.4</v>
      </c>
      <c r="O137" s="95">
        <v>0.92666666666666664</v>
      </c>
      <c r="P137" s="95">
        <v>0.5</v>
      </c>
      <c r="Q137" s="95">
        <v>1</v>
      </c>
      <c r="R137" s="95">
        <v>1</v>
      </c>
    </row>
    <row r="138" spans="2:18">
      <c r="B138" s="10" t="s">
        <v>741</v>
      </c>
      <c r="C138" s="93">
        <v>2</v>
      </c>
      <c r="D138" s="10" t="s">
        <v>51</v>
      </c>
      <c r="E138" s="24">
        <f t="shared" si="8"/>
        <v>2000</v>
      </c>
      <c r="F138" s="24">
        <f t="shared" si="9"/>
        <v>16000</v>
      </c>
      <c r="G138" s="24">
        <v>2000</v>
      </c>
      <c r="H138" s="24">
        <v>16000</v>
      </c>
      <c r="I138" s="24">
        <v>1700</v>
      </c>
      <c r="J138" s="24">
        <v>10000</v>
      </c>
      <c r="K138" s="95">
        <v>0.29411764705882354</v>
      </c>
      <c r="L138" s="95">
        <v>0.5</v>
      </c>
      <c r="M138" s="95">
        <v>5.8823529411764705E-2</v>
      </c>
      <c r="N138" s="95">
        <v>0.1</v>
      </c>
      <c r="O138" s="95">
        <v>0.6470588235294118</v>
      </c>
      <c r="P138" s="95">
        <v>0.4</v>
      </c>
      <c r="Q138" s="95">
        <v>1</v>
      </c>
      <c r="R138" s="95">
        <v>1</v>
      </c>
    </row>
    <row r="139" spans="2:18">
      <c r="B139" s="10" t="s">
        <v>61</v>
      </c>
      <c r="C139" s="93">
        <v>2</v>
      </c>
      <c r="D139" s="10" t="s">
        <v>51</v>
      </c>
      <c r="E139" s="24">
        <f t="shared" si="8"/>
        <v>425</v>
      </c>
      <c r="F139" s="24">
        <f t="shared" si="9"/>
        <v>5300</v>
      </c>
      <c r="G139" s="24">
        <v>425</v>
      </c>
      <c r="H139" s="24">
        <v>5300</v>
      </c>
      <c r="I139" s="24">
        <v>300</v>
      </c>
      <c r="J139" s="24">
        <v>200</v>
      </c>
      <c r="K139" s="95">
        <v>0</v>
      </c>
      <c r="L139" s="95">
        <v>0</v>
      </c>
      <c r="M139" s="95">
        <v>0.5</v>
      </c>
      <c r="N139" s="95">
        <v>0.5</v>
      </c>
      <c r="O139" s="95">
        <v>0.5</v>
      </c>
      <c r="P139" s="95">
        <v>0.5</v>
      </c>
      <c r="Q139" s="95">
        <v>1</v>
      </c>
      <c r="R139" s="95">
        <v>1</v>
      </c>
    </row>
    <row r="140" spans="2:18">
      <c r="B140" s="10" t="s">
        <v>62</v>
      </c>
      <c r="C140" s="93">
        <v>7</v>
      </c>
      <c r="D140" s="10" t="s">
        <v>51</v>
      </c>
      <c r="E140" s="24">
        <f t="shared" si="8"/>
        <v>300000</v>
      </c>
      <c r="F140" s="24">
        <f t="shared" si="9"/>
        <v>7700000</v>
      </c>
      <c r="G140" s="24">
        <v>300000</v>
      </c>
      <c r="H140" s="24">
        <v>7700000</v>
      </c>
      <c r="I140" s="24">
        <v>80000</v>
      </c>
      <c r="J140" s="24">
        <v>400000</v>
      </c>
      <c r="K140" s="95">
        <v>0.625</v>
      </c>
      <c r="L140" s="95">
        <v>0.625</v>
      </c>
      <c r="M140" s="95">
        <v>7.4999999999999997E-2</v>
      </c>
      <c r="N140" s="95">
        <v>7.4999999999999997E-2</v>
      </c>
      <c r="O140" s="95">
        <v>0.3</v>
      </c>
      <c r="P140" s="95">
        <v>0.3</v>
      </c>
      <c r="Q140" s="95">
        <v>1</v>
      </c>
      <c r="R140" s="95">
        <v>1</v>
      </c>
    </row>
    <row r="141" spans="2:18">
      <c r="B141" s="10" t="s">
        <v>256</v>
      </c>
      <c r="C141" s="93">
        <v>3</v>
      </c>
      <c r="D141" s="10" t="s">
        <v>51</v>
      </c>
      <c r="E141" s="24">
        <f t="shared" si="8"/>
        <v>60000</v>
      </c>
      <c r="F141" s="24">
        <f t="shared" si="9"/>
        <v>820000</v>
      </c>
      <c r="G141" s="24">
        <v>60000</v>
      </c>
      <c r="H141" s="24">
        <v>820000</v>
      </c>
      <c r="I141" s="24">
        <v>32000</v>
      </c>
      <c r="J141" s="24">
        <v>186000</v>
      </c>
      <c r="K141" s="95">
        <v>0.85</v>
      </c>
      <c r="L141" s="95">
        <v>0.85</v>
      </c>
      <c r="M141" s="95">
        <v>0.03</v>
      </c>
      <c r="N141" s="95">
        <v>0.03</v>
      </c>
      <c r="O141" s="95">
        <v>0.12</v>
      </c>
      <c r="P141" s="95">
        <v>0.12</v>
      </c>
      <c r="Q141" s="95">
        <v>1</v>
      </c>
      <c r="R141" s="95">
        <v>1</v>
      </c>
    </row>
    <row r="142" spans="2:18">
      <c r="B142" s="10" t="s">
        <v>746</v>
      </c>
      <c r="C142" s="93">
        <v>2</v>
      </c>
      <c r="D142" s="10" t="s">
        <v>51</v>
      </c>
      <c r="E142" s="24">
        <f t="shared" si="8"/>
        <v>660</v>
      </c>
      <c r="F142" s="24">
        <f t="shared" si="9"/>
        <v>3300</v>
      </c>
      <c r="G142" s="24">
        <v>660</v>
      </c>
      <c r="H142" s="24">
        <v>3300</v>
      </c>
      <c r="I142" s="24">
        <v>40</v>
      </c>
      <c r="J142" s="24">
        <v>100</v>
      </c>
      <c r="K142" s="95">
        <v>0.84570596797671038</v>
      </c>
      <c r="L142" s="95">
        <v>0.84570596797671049</v>
      </c>
      <c r="M142" s="95">
        <v>2.6200873362445413E-2</v>
      </c>
      <c r="N142" s="95">
        <v>2.6200873362445417E-2</v>
      </c>
      <c r="O142" s="95">
        <v>0.12809315866084425</v>
      </c>
      <c r="P142" s="95">
        <v>0.12809315866084417</v>
      </c>
      <c r="Q142" s="95">
        <v>1</v>
      </c>
      <c r="R142" s="95">
        <v>1</v>
      </c>
    </row>
    <row r="143" spans="2:18">
      <c r="B143" s="10" t="s">
        <v>747</v>
      </c>
      <c r="C143" s="93">
        <v>2</v>
      </c>
      <c r="D143" s="10" t="s">
        <v>51</v>
      </c>
      <c r="E143" s="24">
        <f t="shared" si="8"/>
        <v>250</v>
      </c>
      <c r="F143" s="24">
        <f t="shared" si="9"/>
        <v>14300</v>
      </c>
      <c r="G143" s="24">
        <v>250</v>
      </c>
      <c r="H143" s="24">
        <v>14300</v>
      </c>
      <c r="I143" s="24">
        <v>250</v>
      </c>
      <c r="J143" s="24">
        <v>7865.0000000000009</v>
      </c>
      <c r="K143" s="95">
        <v>0</v>
      </c>
      <c r="L143" s="95">
        <v>0</v>
      </c>
      <c r="M143" s="95">
        <v>0.5</v>
      </c>
      <c r="N143" s="95">
        <v>0.5</v>
      </c>
      <c r="O143" s="95">
        <v>0.5</v>
      </c>
      <c r="P143" s="95">
        <v>0.5</v>
      </c>
      <c r="Q143" s="95">
        <v>1</v>
      </c>
      <c r="R143" s="95">
        <v>1</v>
      </c>
    </row>
    <row r="144" spans="2:18">
      <c r="B144" s="10" t="s">
        <v>749</v>
      </c>
      <c r="C144" s="93">
        <v>4</v>
      </c>
      <c r="D144" s="10" t="s">
        <v>51</v>
      </c>
      <c r="E144" s="24">
        <f t="shared" si="8"/>
        <v>1500000</v>
      </c>
      <c r="F144" s="24">
        <f t="shared" si="9"/>
        <v>5300000</v>
      </c>
      <c r="G144" s="24">
        <v>1500000</v>
      </c>
      <c r="H144" s="24">
        <v>5300000</v>
      </c>
      <c r="I144" s="24">
        <v>5000</v>
      </c>
      <c r="J144" s="24">
        <v>20000</v>
      </c>
      <c r="K144" s="95">
        <v>0.2</v>
      </c>
      <c r="L144" s="95">
        <v>0.2</v>
      </c>
      <c r="M144" s="95">
        <v>0.2</v>
      </c>
      <c r="N144" s="95">
        <v>0.2</v>
      </c>
      <c r="O144" s="95">
        <v>0.6</v>
      </c>
      <c r="P144" s="95">
        <v>0.6</v>
      </c>
      <c r="Q144" s="95">
        <v>1</v>
      </c>
      <c r="R144" s="95">
        <v>1</v>
      </c>
    </row>
    <row r="145" spans="2:18">
      <c r="B145" s="10" t="s">
        <v>54</v>
      </c>
      <c r="C145" s="93">
        <v>5</v>
      </c>
      <c r="D145" s="10" t="s">
        <v>52</v>
      </c>
      <c r="E145" s="24">
        <f t="shared" si="8"/>
        <v>120</v>
      </c>
      <c r="F145" s="24">
        <f t="shared" si="9"/>
        <v>11000</v>
      </c>
      <c r="G145" s="24">
        <v>120</v>
      </c>
      <c r="H145" s="24">
        <v>11000</v>
      </c>
      <c r="I145" s="24">
        <v>120</v>
      </c>
      <c r="J145" s="24">
        <v>3400</v>
      </c>
      <c r="K145" s="95">
        <v>0</v>
      </c>
      <c r="L145" s="95">
        <v>7.3529411764705885E-2</v>
      </c>
      <c r="M145" s="95">
        <v>0.5</v>
      </c>
      <c r="N145" s="95">
        <v>0.29411764705882354</v>
      </c>
      <c r="O145" s="95">
        <v>0.5</v>
      </c>
      <c r="P145" s="95">
        <v>0.63235294117647056</v>
      </c>
      <c r="Q145" s="95">
        <v>1</v>
      </c>
      <c r="R145" s="95">
        <v>1</v>
      </c>
    </row>
    <row r="146" spans="2:18">
      <c r="B146" s="10" t="s">
        <v>716</v>
      </c>
      <c r="C146" s="93">
        <v>5</v>
      </c>
      <c r="D146" s="10" t="s">
        <v>52</v>
      </c>
      <c r="E146" s="24">
        <f t="shared" si="8"/>
        <v>60</v>
      </c>
      <c r="F146" s="24">
        <f t="shared" si="9"/>
        <v>4500</v>
      </c>
      <c r="G146" s="24">
        <v>60</v>
      </c>
      <c r="H146" s="24">
        <v>4500</v>
      </c>
      <c r="I146" s="24">
        <v>60</v>
      </c>
      <c r="J146" s="24">
        <v>4000</v>
      </c>
      <c r="K146" s="95">
        <v>0.62056737588652477</v>
      </c>
      <c r="L146" s="95">
        <v>0.32247340425531917</v>
      </c>
      <c r="M146" s="95">
        <v>0.5</v>
      </c>
      <c r="N146" s="95">
        <v>0.125</v>
      </c>
      <c r="O146" s="95">
        <v>-0.12056737588652476</v>
      </c>
      <c r="P146" s="95">
        <v>0.55252659574468088</v>
      </c>
      <c r="Q146" s="95">
        <v>1</v>
      </c>
      <c r="R146" s="95">
        <v>1</v>
      </c>
    </row>
    <row r="147" spans="2:18">
      <c r="B147" s="10" t="s">
        <v>209</v>
      </c>
      <c r="C147" s="93">
        <v>5</v>
      </c>
      <c r="D147" s="10" t="s">
        <v>52</v>
      </c>
      <c r="E147" s="24">
        <f t="shared" si="8"/>
        <v>80</v>
      </c>
      <c r="F147" s="24">
        <f t="shared" si="9"/>
        <v>6000</v>
      </c>
      <c r="G147" s="24">
        <v>80</v>
      </c>
      <c r="H147" s="24">
        <v>6000</v>
      </c>
      <c r="I147" s="24">
        <v>80</v>
      </c>
      <c r="J147" s="24">
        <v>5000</v>
      </c>
      <c r="K147" s="95">
        <v>0.125</v>
      </c>
      <c r="L147" s="95">
        <v>0.1</v>
      </c>
      <c r="M147" s="95">
        <v>0.25</v>
      </c>
      <c r="N147" s="95">
        <v>0.1</v>
      </c>
      <c r="O147" s="95">
        <v>0.625</v>
      </c>
      <c r="P147" s="95">
        <v>0.8</v>
      </c>
      <c r="Q147" s="95">
        <v>1</v>
      </c>
      <c r="R147" s="95">
        <v>1</v>
      </c>
    </row>
    <row r="148" spans="2:18">
      <c r="B148" s="10" t="s">
        <v>215</v>
      </c>
      <c r="C148" s="93">
        <v>5</v>
      </c>
      <c r="D148" s="10" t="s">
        <v>52</v>
      </c>
      <c r="E148" s="24">
        <f t="shared" si="8"/>
        <v>100</v>
      </c>
      <c r="F148" s="24">
        <f t="shared" si="9"/>
        <v>7500</v>
      </c>
      <c r="G148" s="24">
        <v>100</v>
      </c>
      <c r="H148" s="24">
        <v>7500</v>
      </c>
      <c r="I148" s="24">
        <v>100</v>
      </c>
      <c r="J148" s="24">
        <v>2000</v>
      </c>
      <c r="K148" s="95">
        <v>0</v>
      </c>
      <c r="L148" s="95">
        <v>0</v>
      </c>
      <c r="M148" s="95">
        <v>0.5</v>
      </c>
      <c r="N148" s="95">
        <v>0.5</v>
      </c>
      <c r="O148" s="95">
        <v>0.5</v>
      </c>
      <c r="P148" s="95">
        <v>0.5</v>
      </c>
      <c r="Q148" s="95">
        <v>1</v>
      </c>
      <c r="R148" s="95">
        <v>1</v>
      </c>
    </row>
    <row r="149" spans="2:18">
      <c r="B149" s="10" t="s">
        <v>59</v>
      </c>
      <c r="C149" s="93">
        <v>5</v>
      </c>
      <c r="D149" s="10" t="s">
        <v>52</v>
      </c>
      <c r="E149" s="24">
        <f t="shared" si="8"/>
        <v>100</v>
      </c>
      <c r="F149" s="24">
        <f t="shared" si="9"/>
        <v>7500</v>
      </c>
      <c r="G149" s="24">
        <v>100</v>
      </c>
      <c r="H149" s="24">
        <v>7500</v>
      </c>
      <c r="I149" s="24">
        <v>100</v>
      </c>
      <c r="J149" s="24">
        <v>2000</v>
      </c>
      <c r="K149" s="95">
        <v>0</v>
      </c>
      <c r="L149" s="95">
        <v>0</v>
      </c>
      <c r="M149" s="95">
        <v>0.5</v>
      </c>
      <c r="N149" s="95">
        <v>0.5</v>
      </c>
      <c r="O149" s="95">
        <v>0.5</v>
      </c>
      <c r="P149" s="95">
        <v>0.5</v>
      </c>
      <c r="Q149" s="95">
        <v>1</v>
      </c>
      <c r="R149" s="95">
        <v>1</v>
      </c>
    </row>
    <row r="150" spans="2:18">
      <c r="B150" s="10" t="s">
        <v>232</v>
      </c>
      <c r="C150" s="93">
        <v>4</v>
      </c>
      <c r="D150" s="10" t="s">
        <v>52</v>
      </c>
      <c r="E150" s="24">
        <f t="shared" si="8"/>
        <v>500000</v>
      </c>
      <c r="F150" s="24">
        <f t="shared" si="9"/>
        <v>9900000</v>
      </c>
      <c r="G150" s="24">
        <v>500000</v>
      </c>
      <c r="H150" s="24">
        <v>9900000</v>
      </c>
      <c r="I150" s="24">
        <v>40000</v>
      </c>
      <c r="J150" s="24">
        <v>400000</v>
      </c>
      <c r="K150" s="95">
        <v>0.875</v>
      </c>
      <c r="L150" s="95">
        <v>0.875</v>
      </c>
      <c r="M150" s="95">
        <v>2.5000000000000001E-3</v>
      </c>
      <c r="N150" s="95">
        <v>2.5000000000000001E-3</v>
      </c>
      <c r="O150" s="95">
        <v>0.1225</v>
      </c>
      <c r="P150" s="95">
        <v>0.1225</v>
      </c>
      <c r="Q150" s="95">
        <v>1</v>
      </c>
      <c r="R150" s="95">
        <v>1</v>
      </c>
    </row>
    <row r="151" spans="2:18">
      <c r="B151" s="10" t="s">
        <v>238</v>
      </c>
      <c r="C151" s="93">
        <v>6</v>
      </c>
      <c r="D151" s="10" t="s">
        <v>52</v>
      </c>
      <c r="E151" s="24">
        <f t="shared" si="8"/>
        <v>80000</v>
      </c>
      <c r="F151" s="24">
        <f t="shared" si="9"/>
        <v>1100000</v>
      </c>
      <c r="G151" s="24">
        <v>80000</v>
      </c>
      <c r="H151" s="24">
        <v>1100000</v>
      </c>
      <c r="I151" s="24">
        <v>30000</v>
      </c>
      <c r="J151" s="24">
        <v>450000</v>
      </c>
      <c r="K151" s="95">
        <v>0.83333333333333337</v>
      </c>
      <c r="L151" s="95">
        <v>0.88888888888888884</v>
      </c>
      <c r="M151" s="95">
        <v>3.3333333333333335E-3</v>
      </c>
      <c r="N151" s="95">
        <v>2.2222222222222222E-3</v>
      </c>
      <c r="O151" s="95">
        <v>0.16333333333333333</v>
      </c>
      <c r="P151" s="95">
        <v>0.10888888888888888</v>
      </c>
      <c r="Q151" s="95">
        <v>1</v>
      </c>
      <c r="R151" s="95">
        <v>1</v>
      </c>
    </row>
    <row r="152" spans="2:18">
      <c r="B152" s="10" t="s">
        <v>736</v>
      </c>
      <c r="C152" s="93">
        <v>5</v>
      </c>
      <c r="D152" s="10" t="s">
        <v>52</v>
      </c>
      <c r="E152" s="24">
        <f t="shared" si="8"/>
        <v>450</v>
      </c>
      <c r="F152" s="24">
        <f t="shared" si="9"/>
        <v>32500</v>
      </c>
      <c r="G152" s="24">
        <v>450</v>
      </c>
      <c r="H152" s="24">
        <v>32500</v>
      </c>
      <c r="I152" s="24">
        <v>450</v>
      </c>
      <c r="J152" s="24">
        <v>16250</v>
      </c>
      <c r="K152" s="95">
        <v>0</v>
      </c>
      <c r="L152" s="95">
        <v>0</v>
      </c>
      <c r="M152" s="95">
        <v>0.46</v>
      </c>
      <c r="N152" s="95">
        <v>0.46</v>
      </c>
      <c r="O152" s="95">
        <v>0.54</v>
      </c>
      <c r="P152" s="95">
        <v>0.54</v>
      </c>
      <c r="Q152" s="95">
        <v>1</v>
      </c>
      <c r="R152" s="95">
        <v>1</v>
      </c>
    </row>
    <row r="153" spans="2:18">
      <c r="B153" s="10" t="s">
        <v>737</v>
      </c>
      <c r="C153" s="93">
        <v>5</v>
      </c>
      <c r="D153" s="10" t="s">
        <v>52</v>
      </c>
      <c r="E153" s="24">
        <f t="shared" si="8"/>
        <v>500</v>
      </c>
      <c r="F153" s="24">
        <f t="shared" si="9"/>
        <v>36000</v>
      </c>
      <c r="G153" s="24">
        <v>500</v>
      </c>
      <c r="H153" s="24">
        <v>36000</v>
      </c>
      <c r="I153" s="24">
        <v>500</v>
      </c>
      <c r="J153" s="24">
        <v>18000</v>
      </c>
      <c r="K153" s="95">
        <v>0</v>
      </c>
      <c r="L153" s="95">
        <v>0</v>
      </c>
      <c r="M153" s="95">
        <v>0.5</v>
      </c>
      <c r="N153" s="95">
        <v>0.5</v>
      </c>
      <c r="O153" s="95">
        <v>0.5</v>
      </c>
      <c r="P153" s="95">
        <v>0.5</v>
      </c>
      <c r="Q153" s="95">
        <v>1</v>
      </c>
      <c r="R153" s="95">
        <v>1</v>
      </c>
    </row>
    <row r="154" spans="2:18">
      <c r="B154" s="10" t="s">
        <v>486</v>
      </c>
      <c r="C154" s="93">
        <v>6</v>
      </c>
      <c r="D154" s="10" t="s">
        <v>52</v>
      </c>
      <c r="E154" s="24">
        <f t="shared" si="8"/>
        <v>80000</v>
      </c>
      <c r="F154" s="24">
        <f t="shared" si="9"/>
        <v>1100000</v>
      </c>
      <c r="G154" s="24">
        <v>80000</v>
      </c>
      <c r="H154" s="24">
        <v>1100000</v>
      </c>
      <c r="I154" s="24">
        <v>30000</v>
      </c>
      <c r="J154" s="24">
        <v>450000</v>
      </c>
      <c r="K154" s="95">
        <v>0.83333333333333337</v>
      </c>
      <c r="L154" s="95">
        <v>0.88888888888888884</v>
      </c>
      <c r="M154" s="95">
        <v>3.3333333333333335E-3</v>
      </c>
      <c r="N154" s="95">
        <v>2.2222222222222222E-3</v>
      </c>
      <c r="O154" s="95">
        <v>0.16333333333333333</v>
      </c>
      <c r="P154" s="95">
        <v>0.10888888888888888</v>
      </c>
      <c r="Q154" s="95">
        <v>1</v>
      </c>
      <c r="R154" s="95">
        <v>1</v>
      </c>
    </row>
    <row r="155" spans="2:18">
      <c r="B155" s="10" t="s">
        <v>247</v>
      </c>
      <c r="C155" s="93">
        <v>5</v>
      </c>
      <c r="D155" s="10" t="s">
        <v>52</v>
      </c>
      <c r="E155" s="24">
        <f t="shared" si="8"/>
        <v>1000</v>
      </c>
      <c r="F155" s="24">
        <f t="shared" si="9"/>
        <v>75000</v>
      </c>
      <c r="G155" s="24">
        <v>1000</v>
      </c>
      <c r="H155" s="24">
        <v>75000</v>
      </c>
      <c r="I155" s="24">
        <v>1000</v>
      </c>
      <c r="J155" s="24">
        <v>25000</v>
      </c>
      <c r="K155" s="95">
        <v>0</v>
      </c>
      <c r="L155" s="95">
        <v>0</v>
      </c>
      <c r="M155" s="95">
        <v>0.5</v>
      </c>
      <c r="N155" s="95">
        <v>0.44</v>
      </c>
      <c r="O155" s="95">
        <v>0.5</v>
      </c>
      <c r="P155" s="95">
        <v>0.56000000000000005</v>
      </c>
      <c r="Q155" s="95">
        <v>1</v>
      </c>
      <c r="R155" s="95">
        <v>1</v>
      </c>
    </row>
    <row r="156" spans="2:18">
      <c r="B156" s="10" t="s">
        <v>250</v>
      </c>
      <c r="C156" s="93">
        <v>5</v>
      </c>
      <c r="D156" s="10" t="s">
        <v>52</v>
      </c>
      <c r="E156" s="24">
        <f t="shared" si="8"/>
        <v>100</v>
      </c>
      <c r="F156" s="24">
        <f t="shared" si="9"/>
        <v>7500</v>
      </c>
      <c r="G156" s="24">
        <v>100</v>
      </c>
      <c r="H156" s="24">
        <v>7500</v>
      </c>
      <c r="I156" s="24">
        <v>100</v>
      </c>
      <c r="J156" s="24">
        <v>2500</v>
      </c>
      <c r="K156" s="95">
        <v>0</v>
      </c>
      <c r="L156" s="95">
        <v>0</v>
      </c>
      <c r="M156" s="95">
        <v>0.5</v>
      </c>
      <c r="N156" s="95">
        <v>0.44</v>
      </c>
      <c r="O156" s="95">
        <v>0.5</v>
      </c>
      <c r="P156" s="95">
        <v>0.56000000000000005</v>
      </c>
      <c r="Q156" s="95">
        <v>1</v>
      </c>
      <c r="R156" s="95">
        <v>1</v>
      </c>
    </row>
    <row r="157" spans="2:18">
      <c r="B157" s="10" t="s">
        <v>490</v>
      </c>
      <c r="C157" s="93">
        <v>6</v>
      </c>
      <c r="D157" s="10" t="s">
        <v>52</v>
      </c>
      <c r="E157" s="24">
        <f t="shared" si="8"/>
        <v>80000</v>
      </c>
      <c r="F157" s="24">
        <f t="shared" si="9"/>
        <v>1100000</v>
      </c>
      <c r="G157" s="24">
        <v>80000</v>
      </c>
      <c r="H157" s="24">
        <v>1100000</v>
      </c>
      <c r="I157" s="24">
        <v>30000</v>
      </c>
      <c r="J157" s="24">
        <v>450000</v>
      </c>
      <c r="K157" s="95">
        <v>0.83333333333333337</v>
      </c>
      <c r="L157" s="95">
        <v>0.88888888888888884</v>
      </c>
      <c r="M157" s="95">
        <v>3.3333333333333335E-3</v>
      </c>
      <c r="N157" s="95">
        <v>2.2222222222222222E-3</v>
      </c>
      <c r="O157" s="95">
        <v>0.16333333333333333</v>
      </c>
      <c r="P157" s="95">
        <v>0.10888888888888888</v>
      </c>
      <c r="Q157" s="95">
        <v>1</v>
      </c>
      <c r="R157" s="95">
        <v>1</v>
      </c>
    </row>
    <row r="158" spans="2:18">
      <c r="B158" s="10" t="s">
        <v>257</v>
      </c>
      <c r="C158" s="93">
        <v>5</v>
      </c>
      <c r="D158" s="10" t="s">
        <v>52</v>
      </c>
      <c r="E158" s="24">
        <f t="shared" si="8"/>
        <v>200</v>
      </c>
      <c r="F158" s="24">
        <f t="shared" si="9"/>
        <v>15000</v>
      </c>
      <c r="G158" s="24">
        <v>200</v>
      </c>
      <c r="H158" s="24">
        <v>15000</v>
      </c>
      <c r="I158" s="24">
        <v>200</v>
      </c>
      <c r="J158" s="24">
        <v>7500</v>
      </c>
      <c r="K158" s="95">
        <v>0</v>
      </c>
      <c r="L158" s="95">
        <v>0</v>
      </c>
      <c r="M158" s="95">
        <v>0.5</v>
      </c>
      <c r="N158" s="95">
        <v>0.5</v>
      </c>
      <c r="O158" s="95">
        <v>0.5</v>
      </c>
      <c r="P158" s="95">
        <v>0.5</v>
      </c>
      <c r="Q158" s="95">
        <v>1</v>
      </c>
      <c r="R158" s="95">
        <v>1</v>
      </c>
    </row>
    <row r="159" spans="2:18">
      <c r="B159" s="10" t="s">
        <v>203</v>
      </c>
      <c r="C159" s="93">
        <v>2</v>
      </c>
      <c r="D159" s="10" t="s">
        <v>53</v>
      </c>
      <c r="E159" s="24">
        <f t="shared" si="8"/>
        <v>500</v>
      </c>
      <c r="F159" s="24">
        <f t="shared" si="9"/>
        <v>30000</v>
      </c>
      <c r="G159" s="24">
        <v>500</v>
      </c>
      <c r="H159" s="24">
        <v>30000</v>
      </c>
      <c r="I159" s="24">
        <v>0</v>
      </c>
      <c r="J159" s="24">
        <v>30000</v>
      </c>
      <c r="K159" s="95">
        <v>0</v>
      </c>
      <c r="L159" s="95">
        <v>0.2</v>
      </c>
      <c r="M159" s="95">
        <v>0</v>
      </c>
      <c r="N159" s="95">
        <v>6.6666666666666666E-2</v>
      </c>
      <c r="O159" s="95">
        <v>0</v>
      </c>
      <c r="P159" s="95">
        <v>0.73333333333333328</v>
      </c>
      <c r="Q159" s="95">
        <v>1</v>
      </c>
      <c r="R159" s="95">
        <v>1</v>
      </c>
    </row>
    <row r="160" spans="2:18">
      <c r="B160" s="10" t="s">
        <v>715</v>
      </c>
      <c r="C160" s="93">
        <v>2</v>
      </c>
      <c r="D160" s="10" t="s">
        <v>53</v>
      </c>
      <c r="E160" s="24">
        <f t="shared" si="8"/>
        <v>45</v>
      </c>
      <c r="F160" s="24">
        <f t="shared" si="9"/>
        <v>3250</v>
      </c>
      <c r="G160" s="24">
        <v>45</v>
      </c>
      <c r="H160" s="24">
        <v>3250</v>
      </c>
      <c r="I160" s="24">
        <v>45</v>
      </c>
      <c r="J160" s="24">
        <v>800</v>
      </c>
      <c r="K160" s="95">
        <v>0</v>
      </c>
      <c r="L160" s="95">
        <v>0</v>
      </c>
      <c r="M160" s="95">
        <v>0.48888888888888887</v>
      </c>
      <c r="N160" s="95">
        <v>0.5</v>
      </c>
      <c r="O160" s="95">
        <v>0.51111111111111107</v>
      </c>
      <c r="P160" s="95">
        <v>0.5</v>
      </c>
      <c r="Q160" s="95">
        <v>1</v>
      </c>
      <c r="R160" s="95">
        <v>1</v>
      </c>
    </row>
    <row r="161" spans="2:18">
      <c r="B161" s="10" t="s">
        <v>216</v>
      </c>
      <c r="C161" s="93">
        <v>2</v>
      </c>
      <c r="D161" s="10" t="s">
        <v>53</v>
      </c>
      <c r="E161" s="24">
        <f t="shared" si="8"/>
        <v>13</v>
      </c>
      <c r="F161" s="24">
        <f t="shared" si="9"/>
        <v>650</v>
      </c>
      <c r="G161" s="24">
        <v>13</v>
      </c>
      <c r="H161" s="24">
        <v>650</v>
      </c>
      <c r="I161" s="24">
        <v>13</v>
      </c>
      <c r="J161" s="24">
        <v>400</v>
      </c>
      <c r="K161" s="95">
        <v>0</v>
      </c>
      <c r="L161" s="95">
        <v>0</v>
      </c>
      <c r="M161" s="95">
        <v>0.46153846153846156</v>
      </c>
      <c r="N161" s="95">
        <v>0.25</v>
      </c>
      <c r="O161" s="95">
        <v>0.53846153846153844</v>
      </c>
      <c r="P161" s="95">
        <v>0.75</v>
      </c>
      <c r="Q161" s="95">
        <v>1</v>
      </c>
      <c r="R161" s="95">
        <v>1</v>
      </c>
    </row>
    <row r="162" spans="2:18">
      <c r="B162" s="10" t="s">
        <v>482</v>
      </c>
      <c r="C162" s="93">
        <v>2</v>
      </c>
      <c r="D162" s="10" t="s">
        <v>53</v>
      </c>
      <c r="E162" s="24">
        <f t="shared" ref="E162:E177" si="10">IF($T$2=1,G162,I162)</f>
        <v>20</v>
      </c>
      <c r="F162" s="24">
        <f t="shared" ref="F162:F177" si="11">IF($T$2=1,H162,J162)</f>
        <v>300</v>
      </c>
      <c r="G162" s="24">
        <v>20</v>
      </c>
      <c r="H162" s="24">
        <v>300</v>
      </c>
      <c r="I162" s="24">
        <v>20</v>
      </c>
      <c r="J162" s="24">
        <v>250</v>
      </c>
      <c r="K162" s="95">
        <v>0</v>
      </c>
      <c r="L162" s="95">
        <v>0</v>
      </c>
      <c r="M162" s="95">
        <v>0.5</v>
      </c>
      <c r="N162" s="95">
        <v>0.68</v>
      </c>
      <c r="O162" s="95">
        <v>0.5</v>
      </c>
      <c r="P162" s="95">
        <v>0.32</v>
      </c>
      <c r="Q162" s="95">
        <v>1</v>
      </c>
      <c r="R162" s="95">
        <v>1</v>
      </c>
    </row>
    <row r="163" spans="2:18">
      <c r="B163" s="10" t="s">
        <v>727</v>
      </c>
      <c r="C163" s="93">
        <v>2</v>
      </c>
      <c r="D163" s="10" t="s">
        <v>53</v>
      </c>
      <c r="E163" s="24">
        <f t="shared" si="10"/>
        <v>600</v>
      </c>
      <c r="F163" s="24">
        <f t="shared" si="11"/>
        <v>36000</v>
      </c>
      <c r="G163" s="24">
        <v>600</v>
      </c>
      <c r="H163" s="24">
        <v>36000</v>
      </c>
      <c r="I163" s="24">
        <v>600</v>
      </c>
      <c r="J163" s="24">
        <v>18000</v>
      </c>
      <c r="K163" s="95">
        <v>0</v>
      </c>
      <c r="L163" s="95">
        <v>0</v>
      </c>
      <c r="M163" s="95">
        <v>0.5</v>
      </c>
      <c r="N163" s="95">
        <v>0.19444444444444445</v>
      </c>
      <c r="O163" s="95">
        <v>0.5</v>
      </c>
      <c r="P163" s="95">
        <v>0.80555555555555558</v>
      </c>
      <c r="Q163" s="95">
        <v>1</v>
      </c>
      <c r="R163" s="95">
        <v>1</v>
      </c>
    </row>
    <row r="164" spans="2:18">
      <c r="B164" s="10" t="s">
        <v>225</v>
      </c>
      <c r="C164" s="93">
        <v>4</v>
      </c>
      <c r="D164" s="10" t="s">
        <v>53</v>
      </c>
      <c r="E164" s="24">
        <f t="shared" si="10"/>
        <v>1000000</v>
      </c>
      <c r="F164" s="24">
        <f t="shared" si="11"/>
        <v>7000000</v>
      </c>
      <c r="G164" s="24">
        <v>1000000</v>
      </c>
      <c r="H164" s="24">
        <v>7000000</v>
      </c>
      <c r="I164" s="24">
        <v>800</v>
      </c>
      <c r="J164" s="24">
        <v>50000</v>
      </c>
      <c r="K164" s="95">
        <v>0.121875</v>
      </c>
      <c r="L164" s="95">
        <v>0.12675</v>
      </c>
      <c r="M164" s="95">
        <v>0.35625000000000001</v>
      </c>
      <c r="N164" s="95">
        <v>0.3705</v>
      </c>
      <c r="O164" s="95">
        <v>0.52187499999999998</v>
      </c>
      <c r="P164" s="95">
        <v>0.50275000000000003</v>
      </c>
      <c r="Q164" s="95">
        <v>1</v>
      </c>
      <c r="R164" s="95">
        <v>1</v>
      </c>
    </row>
    <row r="165" spans="2:18">
      <c r="B165" s="10" t="s">
        <v>485</v>
      </c>
      <c r="C165" s="93">
        <v>2</v>
      </c>
      <c r="D165" s="10" t="s">
        <v>53</v>
      </c>
      <c r="E165" s="24">
        <f t="shared" si="10"/>
        <v>20</v>
      </c>
      <c r="F165" s="24">
        <f t="shared" si="11"/>
        <v>1500</v>
      </c>
      <c r="G165" s="24">
        <v>20</v>
      </c>
      <c r="H165" s="24">
        <v>1500</v>
      </c>
      <c r="I165" s="24">
        <v>20</v>
      </c>
      <c r="J165" s="24">
        <v>1300</v>
      </c>
      <c r="K165" s="95">
        <v>0</v>
      </c>
      <c r="L165" s="95">
        <v>7.6923076923076927E-2</v>
      </c>
      <c r="M165" s="95">
        <v>0.5</v>
      </c>
      <c r="N165" s="95">
        <v>0.13076923076923078</v>
      </c>
      <c r="O165" s="95">
        <v>0.5</v>
      </c>
      <c r="P165" s="95">
        <v>0.79230769230769227</v>
      </c>
      <c r="Q165" s="95">
        <v>1</v>
      </c>
      <c r="R165" s="95">
        <v>1</v>
      </c>
    </row>
    <row r="166" spans="2:18">
      <c r="B166" s="10" t="s">
        <v>739</v>
      </c>
      <c r="C166" s="93">
        <v>3</v>
      </c>
      <c r="D166" s="10" t="s">
        <v>53</v>
      </c>
      <c r="E166" s="24">
        <f t="shared" si="10"/>
        <v>80</v>
      </c>
      <c r="F166" s="24">
        <f t="shared" si="11"/>
        <v>1000</v>
      </c>
      <c r="G166" s="24">
        <v>80</v>
      </c>
      <c r="H166" s="24">
        <v>1000</v>
      </c>
      <c r="I166" s="24">
        <v>80</v>
      </c>
      <c r="J166" s="24">
        <v>750</v>
      </c>
      <c r="K166" s="95">
        <v>0</v>
      </c>
      <c r="L166" s="95">
        <v>0</v>
      </c>
      <c r="M166" s="95">
        <v>0.5</v>
      </c>
      <c r="N166" s="95">
        <v>0.66666666666666663</v>
      </c>
      <c r="O166" s="95">
        <v>0.5</v>
      </c>
      <c r="P166" s="95">
        <v>0.33333333333333331</v>
      </c>
      <c r="Q166" s="95">
        <v>1</v>
      </c>
      <c r="R166" s="95">
        <v>1</v>
      </c>
    </row>
    <row r="167" spans="2:18">
      <c r="B167" s="10" t="s">
        <v>243</v>
      </c>
      <c r="C167" s="93">
        <v>2</v>
      </c>
      <c r="D167" s="10" t="s">
        <v>53</v>
      </c>
      <c r="E167" s="24">
        <f t="shared" si="10"/>
        <v>20</v>
      </c>
      <c r="F167" s="24">
        <f t="shared" si="11"/>
        <v>1500</v>
      </c>
      <c r="G167" s="24">
        <v>20</v>
      </c>
      <c r="H167" s="24">
        <v>1500</v>
      </c>
      <c r="I167" s="24">
        <v>30</v>
      </c>
      <c r="J167" s="24">
        <v>1000</v>
      </c>
      <c r="K167" s="95">
        <v>0.01</v>
      </c>
      <c r="L167" s="95">
        <v>1.7948717948717947E-3</v>
      </c>
      <c r="M167" s="95">
        <v>0.5</v>
      </c>
      <c r="N167" s="95">
        <v>0.25</v>
      </c>
      <c r="O167" s="95">
        <v>0.49</v>
      </c>
      <c r="P167" s="95">
        <v>0.74820512820512819</v>
      </c>
      <c r="Q167" s="95">
        <v>1</v>
      </c>
      <c r="R167" s="95">
        <v>1</v>
      </c>
    </row>
    <row r="168" spans="2:18">
      <c r="B168" s="10" t="s">
        <v>246</v>
      </c>
      <c r="C168" s="93">
        <v>1</v>
      </c>
      <c r="D168" s="10" t="s">
        <v>53</v>
      </c>
      <c r="E168" s="24">
        <f t="shared" si="10"/>
        <v>175</v>
      </c>
      <c r="F168" s="24">
        <f t="shared" si="11"/>
        <v>1750</v>
      </c>
      <c r="G168" s="24">
        <v>175</v>
      </c>
      <c r="H168" s="24">
        <v>1750</v>
      </c>
      <c r="I168" s="24">
        <v>35</v>
      </c>
      <c r="J168" s="24">
        <v>350</v>
      </c>
      <c r="K168" s="95">
        <v>0.2857142857142857</v>
      </c>
      <c r="L168" s="95">
        <v>0.2857142857142857</v>
      </c>
      <c r="M168" s="95">
        <v>0.14285714285714285</v>
      </c>
      <c r="N168" s="95">
        <v>0.22857142857142856</v>
      </c>
      <c r="O168" s="95">
        <v>0.5714285714285714</v>
      </c>
      <c r="P168" s="95">
        <v>0.48571428571428571</v>
      </c>
      <c r="Q168" s="95">
        <v>1</v>
      </c>
      <c r="R168" s="95">
        <v>1</v>
      </c>
    </row>
    <row r="169" spans="2:18">
      <c r="B169" s="10" t="s">
        <v>251</v>
      </c>
      <c r="C169" s="93">
        <v>4</v>
      </c>
      <c r="D169" s="10" t="s">
        <v>53</v>
      </c>
      <c r="E169" s="24">
        <f t="shared" si="10"/>
        <v>3470000</v>
      </c>
      <c r="F169" s="24">
        <f t="shared" si="11"/>
        <v>28100000</v>
      </c>
      <c r="G169" s="24">
        <v>3470000</v>
      </c>
      <c r="H169" s="24">
        <v>28100000</v>
      </c>
      <c r="I169" s="24">
        <v>347</v>
      </c>
      <c r="J169" s="24">
        <v>1000</v>
      </c>
      <c r="K169" s="95">
        <v>0.61</v>
      </c>
      <c r="L169" s="95">
        <v>0</v>
      </c>
      <c r="M169" s="95">
        <v>0.09</v>
      </c>
      <c r="N169" s="95">
        <v>0</v>
      </c>
      <c r="O169" s="95">
        <v>0.3</v>
      </c>
      <c r="P169" s="95">
        <v>1</v>
      </c>
      <c r="Q169" s="95">
        <v>1</v>
      </c>
      <c r="R169" s="95">
        <v>1</v>
      </c>
    </row>
    <row r="170" spans="2:18">
      <c r="B170" s="10" t="s">
        <v>487</v>
      </c>
      <c r="C170" s="93">
        <v>2</v>
      </c>
      <c r="D170" s="10" t="s">
        <v>53</v>
      </c>
      <c r="E170" s="24">
        <f t="shared" si="10"/>
        <v>1650</v>
      </c>
      <c r="F170" s="24">
        <f t="shared" si="11"/>
        <v>35000</v>
      </c>
      <c r="G170" s="24">
        <v>1650</v>
      </c>
      <c r="H170" s="24">
        <v>35000</v>
      </c>
      <c r="I170" s="24">
        <v>1650</v>
      </c>
      <c r="J170" s="24">
        <v>25000</v>
      </c>
      <c r="K170" s="95">
        <v>0.60606060606060608</v>
      </c>
      <c r="L170" s="95">
        <v>0.6</v>
      </c>
      <c r="M170" s="95">
        <v>0</v>
      </c>
      <c r="N170" s="95">
        <v>0</v>
      </c>
      <c r="O170" s="95">
        <v>0.39393939393939392</v>
      </c>
      <c r="P170" s="95">
        <v>0.4</v>
      </c>
      <c r="Q170" s="95">
        <v>1</v>
      </c>
      <c r="R170" s="95">
        <v>1</v>
      </c>
    </row>
    <row r="171" spans="2:18">
      <c r="B171" s="10" t="s">
        <v>748</v>
      </c>
      <c r="C171" s="93">
        <v>4</v>
      </c>
      <c r="D171" s="10" t="s">
        <v>53</v>
      </c>
      <c r="E171" s="24">
        <f t="shared" si="10"/>
        <v>17500</v>
      </c>
      <c r="F171" s="24">
        <f t="shared" si="11"/>
        <v>0</v>
      </c>
      <c r="G171" s="24">
        <v>17500</v>
      </c>
      <c r="H171" s="24">
        <v>0</v>
      </c>
      <c r="I171" s="24">
        <v>17500</v>
      </c>
      <c r="J171" s="24">
        <v>0</v>
      </c>
      <c r="K171" s="95">
        <v>0.2857142857142857</v>
      </c>
      <c r="L171" s="95">
        <v>0</v>
      </c>
      <c r="M171" s="95">
        <v>0.2</v>
      </c>
      <c r="N171" s="95">
        <v>0</v>
      </c>
      <c r="O171" s="95">
        <v>0.51428571428571423</v>
      </c>
      <c r="P171" s="95">
        <v>0</v>
      </c>
      <c r="Q171" s="95">
        <v>1</v>
      </c>
      <c r="R171" s="95">
        <v>1</v>
      </c>
    </row>
    <row r="172" spans="2:18">
      <c r="B172" s="10" t="s">
        <v>63</v>
      </c>
      <c r="C172" s="93">
        <v>7</v>
      </c>
      <c r="D172" s="10" t="s">
        <v>53</v>
      </c>
      <c r="E172" s="24">
        <f t="shared" si="10"/>
        <v>125000</v>
      </c>
      <c r="F172" s="24">
        <f t="shared" si="11"/>
        <v>300000</v>
      </c>
      <c r="G172" s="24">
        <v>125000</v>
      </c>
      <c r="H172" s="24">
        <v>300000</v>
      </c>
      <c r="I172" s="24">
        <v>58750</v>
      </c>
      <c r="J172" s="24">
        <v>141000</v>
      </c>
      <c r="K172" s="95">
        <v>0.48</v>
      </c>
      <c r="L172" s="95">
        <v>0.48</v>
      </c>
      <c r="M172" s="95">
        <v>0.21</v>
      </c>
      <c r="N172" s="95">
        <v>0.21</v>
      </c>
      <c r="O172" s="95">
        <v>0.31</v>
      </c>
      <c r="P172" s="95">
        <v>0.31</v>
      </c>
      <c r="Q172" s="95">
        <v>1</v>
      </c>
      <c r="R172" s="95">
        <v>1</v>
      </c>
    </row>
    <row r="173" spans="2:18">
      <c r="B173" s="10" t="s">
        <v>750</v>
      </c>
      <c r="C173" s="93">
        <v>5</v>
      </c>
      <c r="D173" s="10" t="s">
        <v>53</v>
      </c>
      <c r="E173" s="24">
        <f t="shared" si="10"/>
        <v>240</v>
      </c>
      <c r="F173" s="24">
        <f t="shared" si="11"/>
        <v>16500</v>
      </c>
      <c r="G173" s="24">
        <v>240</v>
      </c>
      <c r="H173" s="24">
        <v>16500</v>
      </c>
      <c r="I173" s="24">
        <v>240</v>
      </c>
      <c r="J173" s="24">
        <v>7000</v>
      </c>
      <c r="K173" s="95">
        <v>0</v>
      </c>
      <c r="L173" s="95">
        <v>0</v>
      </c>
      <c r="M173" s="95">
        <v>0.91666666666666663</v>
      </c>
      <c r="N173" s="95">
        <v>0.5</v>
      </c>
      <c r="O173" s="95">
        <v>8.3333333333333329E-2</v>
      </c>
      <c r="P173" s="95">
        <v>0.5</v>
      </c>
      <c r="Q173" s="95">
        <v>1</v>
      </c>
      <c r="R173" s="95">
        <v>1</v>
      </c>
    </row>
    <row r="174" spans="2:18">
      <c r="B174" s="10" t="s">
        <v>751</v>
      </c>
      <c r="C174" s="93">
        <v>2</v>
      </c>
      <c r="D174" s="10" t="s">
        <v>53</v>
      </c>
      <c r="E174" s="24">
        <f t="shared" si="10"/>
        <v>140</v>
      </c>
      <c r="F174" s="24">
        <f t="shared" si="11"/>
        <v>10000</v>
      </c>
      <c r="G174" s="24">
        <v>140</v>
      </c>
      <c r="H174" s="24">
        <v>10000</v>
      </c>
      <c r="I174" s="24">
        <v>140</v>
      </c>
      <c r="J174" s="24">
        <v>6600</v>
      </c>
      <c r="K174" s="95">
        <v>0.28928571428571431</v>
      </c>
      <c r="L174" s="95">
        <v>0.27</v>
      </c>
      <c r="M174" s="95">
        <v>0.31071428571428572</v>
      </c>
      <c r="N174" s="95">
        <v>0.28999999999999998</v>
      </c>
      <c r="O174" s="95">
        <v>0.39999999999999997</v>
      </c>
      <c r="P174" s="95">
        <v>0.44</v>
      </c>
      <c r="Q174" s="95">
        <v>1</v>
      </c>
      <c r="R174" s="95">
        <v>1</v>
      </c>
    </row>
    <row r="175" spans="2:18">
      <c r="B175" s="10" t="s">
        <v>269</v>
      </c>
      <c r="C175" s="93">
        <v>2</v>
      </c>
      <c r="D175" s="10" t="s">
        <v>53</v>
      </c>
      <c r="E175" s="24">
        <f t="shared" si="10"/>
        <v>6</v>
      </c>
      <c r="F175" s="24">
        <f t="shared" si="11"/>
        <v>72</v>
      </c>
      <c r="G175" s="24">
        <v>6</v>
      </c>
      <c r="H175" s="24">
        <v>72</v>
      </c>
      <c r="I175" s="24">
        <v>6</v>
      </c>
      <c r="J175" s="24">
        <v>40</v>
      </c>
      <c r="K175" s="95">
        <v>0</v>
      </c>
      <c r="L175" s="95">
        <v>0</v>
      </c>
      <c r="M175" s="95">
        <v>0.5</v>
      </c>
      <c r="N175" s="95">
        <v>0.5</v>
      </c>
      <c r="O175" s="95">
        <v>0.5</v>
      </c>
      <c r="P175" s="95">
        <v>0.5</v>
      </c>
      <c r="Q175" s="95">
        <v>1</v>
      </c>
      <c r="R175" s="95">
        <v>1</v>
      </c>
    </row>
    <row r="176" spans="2:18">
      <c r="B176" s="10" t="s">
        <v>272</v>
      </c>
      <c r="C176" s="93">
        <v>6</v>
      </c>
      <c r="D176" s="10" t="s">
        <v>53</v>
      </c>
      <c r="E176" s="24">
        <f t="shared" si="10"/>
        <v>73000</v>
      </c>
      <c r="F176" s="24">
        <f t="shared" si="11"/>
        <v>200000</v>
      </c>
      <c r="G176" s="24">
        <v>73000</v>
      </c>
      <c r="H176" s="24">
        <v>200000</v>
      </c>
      <c r="I176" s="24">
        <v>19000</v>
      </c>
      <c r="J176" s="24">
        <v>57000</v>
      </c>
      <c r="K176" s="95">
        <v>0.73684210526315785</v>
      </c>
      <c r="L176" s="95">
        <v>0.73684210526315785</v>
      </c>
      <c r="M176" s="95">
        <v>0.10526315789473684</v>
      </c>
      <c r="N176" s="95">
        <v>0.10526315789473684</v>
      </c>
      <c r="O176" s="95">
        <v>0.15789473684210525</v>
      </c>
      <c r="P176" s="95">
        <v>0.15789473684210525</v>
      </c>
      <c r="Q176" s="95">
        <v>1</v>
      </c>
      <c r="R176" s="95">
        <v>1</v>
      </c>
    </row>
    <row r="177" spans="2:18">
      <c r="B177" s="10" t="s">
        <v>492</v>
      </c>
      <c r="C177" s="93">
        <v>3</v>
      </c>
      <c r="D177" s="10" t="s">
        <v>53</v>
      </c>
      <c r="E177" s="24">
        <f t="shared" si="10"/>
        <v>6500</v>
      </c>
      <c r="F177" s="24">
        <f t="shared" si="11"/>
        <v>10000</v>
      </c>
      <c r="G177" s="24">
        <v>6500</v>
      </c>
      <c r="H177" s="24">
        <v>10000</v>
      </c>
      <c r="I177" s="24">
        <v>300</v>
      </c>
      <c r="J177" s="24">
        <v>500</v>
      </c>
      <c r="K177" s="95">
        <v>0.5</v>
      </c>
      <c r="L177" s="95">
        <v>0.5</v>
      </c>
      <c r="M177" s="95">
        <v>0.2</v>
      </c>
      <c r="N177" s="95">
        <v>0.2</v>
      </c>
      <c r="O177" s="95">
        <v>0.3</v>
      </c>
      <c r="P177" s="95">
        <v>0.3</v>
      </c>
      <c r="Q177" s="95">
        <v>1</v>
      </c>
      <c r="R177" s="95">
        <v>1</v>
      </c>
    </row>
    <row r="178" spans="2:18">
      <c r="B178" s="66" t="s">
        <v>310</v>
      </c>
    </row>
    <row r="179" spans="2:18">
      <c r="B179" s="66" t="s">
        <v>310</v>
      </c>
    </row>
    <row r="180" spans="2:18">
      <c r="B180" s="66" t="s">
        <v>310</v>
      </c>
    </row>
    <row r="181" spans="2:18">
      <c r="B181" s="66" t="s">
        <v>310</v>
      </c>
    </row>
    <row r="182" spans="2:18">
      <c r="B182" s="66" t="s">
        <v>310</v>
      </c>
    </row>
    <row r="183" spans="2:18">
      <c r="B183" s="66" t="s">
        <v>310</v>
      </c>
    </row>
    <row r="184" spans="2:18">
      <c r="B184" s="66" t="s">
        <v>310</v>
      </c>
    </row>
    <row r="185" spans="2:18">
      <c r="B185" s="66" t="s">
        <v>310</v>
      </c>
    </row>
    <row r="186" spans="2:18">
      <c r="B186" s="66" t="s">
        <v>310</v>
      </c>
    </row>
    <row r="187" spans="2:18">
      <c r="B187" s="66" t="s">
        <v>310</v>
      </c>
    </row>
    <row r="188" spans="2:18">
      <c r="B188" s="66" t="s">
        <v>310</v>
      </c>
    </row>
    <row r="189" spans="2:18">
      <c r="B189" s="66" t="s">
        <v>310</v>
      </c>
    </row>
    <row r="190" spans="2:18">
      <c r="B190" s="66" t="s">
        <v>310</v>
      </c>
    </row>
    <row r="191" spans="2:18">
      <c r="B191" s="66" t="s">
        <v>310</v>
      </c>
    </row>
    <row r="192" spans="2:18">
      <c r="B192" s="66" t="s">
        <v>310</v>
      </c>
    </row>
    <row r="193" spans="2:2">
      <c r="B193" s="66" t="s">
        <v>310</v>
      </c>
    </row>
    <row r="194" spans="2:2">
      <c r="B194" s="66" t="s">
        <v>310</v>
      </c>
    </row>
    <row r="195" spans="2:2">
      <c r="B195" s="66" t="s">
        <v>310</v>
      </c>
    </row>
    <row r="196" spans="2:2">
      <c r="B196" s="66" t="s">
        <v>310</v>
      </c>
    </row>
    <row r="197" spans="2:2">
      <c r="B197" s="66" t="s">
        <v>310</v>
      </c>
    </row>
    <row r="198" spans="2:2">
      <c r="B198" s="66" t="s">
        <v>310</v>
      </c>
    </row>
    <row r="199" spans="2:2">
      <c r="B199" s="66" t="s">
        <v>310</v>
      </c>
    </row>
    <row r="200" spans="2:2">
      <c r="B200" s="66" t="s">
        <v>310</v>
      </c>
    </row>
    <row r="201" spans="2:2">
      <c r="B201" s="66" t="s">
        <v>310</v>
      </c>
    </row>
    <row r="202" spans="2:2">
      <c r="B202" s="66" t="s">
        <v>310</v>
      </c>
    </row>
    <row r="203" spans="2:2">
      <c r="B203" s="66" t="s">
        <v>310</v>
      </c>
    </row>
    <row r="204" spans="2:2">
      <c r="B204" s="66" t="s">
        <v>310</v>
      </c>
    </row>
    <row r="205" spans="2:2">
      <c r="B205" s="66" t="s">
        <v>310</v>
      </c>
    </row>
    <row r="206" spans="2:2">
      <c r="B206" s="66" t="s">
        <v>310</v>
      </c>
    </row>
    <row r="207" spans="2:2">
      <c r="B207" s="66" t="s">
        <v>310</v>
      </c>
    </row>
    <row r="208" spans="2:2">
      <c r="B208" s="66" t="s">
        <v>310</v>
      </c>
    </row>
    <row r="209" spans="2:2">
      <c r="B209" s="66" t="s">
        <v>310</v>
      </c>
    </row>
    <row r="210" spans="2:2">
      <c r="B210" s="66" t="s">
        <v>310</v>
      </c>
    </row>
    <row r="211" spans="2:2">
      <c r="B211" s="66" t="s">
        <v>310</v>
      </c>
    </row>
    <row r="212" spans="2:2">
      <c r="B212" s="66" t="s">
        <v>310</v>
      </c>
    </row>
    <row r="213" spans="2:2">
      <c r="B213" s="66" t="s">
        <v>310</v>
      </c>
    </row>
    <row r="214" spans="2:2">
      <c r="B214" s="66" t="s">
        <v>310</v>
      </c>
    </row>
    <row r="215" spans="2:2">
      <c r="B215" s="66" t="s">
        <v>310</v>
      </c>
    </row>
    <row r="216" spans="2:2">
      <c r="B216" s="66" t="s">
        <v>310</v>
      </c>
    </row>
    <row r="217" spans="2:2">
      <c r="B217" s="66" t="s">
        <v>310</v>
      </c>
    </row>
    <row r="218" spans="2:2">
      <c r="B218" s="66" t="s">
        <v>310</v>
      </c>
    </row>
    <row r="219" spans="2:2">
      <c r="B219" s="66" t="s">
        <v>310</v>
      </c>
    </row>
    <row r="220" spans="2:2">
      <c r="B220" s="66" t="s">
        <v>310</v>
      </c>
    </row>
    <row r="221" spans="2:2">
      <c r="B221" s="66" t="s">
        <v>310</v>
      </c>
    </row>
    <row r="222" spans="2:2">
      <c r="B222" s="66" t="s">
        <v>310</v>
      </c>
    </row>
    <row r="223" spans="2:2">
      <c r="B223" s="66" t="s">
        <v>310</v>
      </c>
    </row>
    <row r="224" spans="2:2">
      <c r="B224" s="66" t="s">
        <v>310</v>
      </c>
    </row>
    <row r="225" spans="2:2">
      <c r="B225" s="66" t="s">
        <v>310</v>
      </c>
    </row>
    <row r="226" spans="2:2">
      <c r="B226" s="66" t="s">
        <v>310</v>
      </c>
    </row>
    <row r="227" spans="2:2">
      <c r="B227" s="66" t="s">
        <v>310</v>
      </c>
    </row>
    <row r="228" spans="2:2">
      <c r="B228" s="66" t="s">
        <v>310</v>
      </c>
    </row>
    <row r="229" spans="2:2">
      <c r="B229" s="66" t="s">
        <v>310</v>
      </c>
    </row>
    <row r="230" spans="2:2">
      <c r="B230" s="66" t="s">
        <v>310</v>
      </c>
    </row>
    <row r="231" spans="2:2">
      <c r="B231" s="66" t="s">
        <v>310</v>
      </c>
    </row>
    <row r="232" spans="2:2">
      <c r="B232" s="66" t="s">
        <v>310</v>
      </c>
    </row>
    <row r="233" spans="2:2">
      <c r="B233" s="66" t="s">
        <v>310</v>
      </c>
    </row>
    <row r="234" spans="2:2">
      <c r="B234" s="66" t="s">
        <v>310</v>
      </c>
    </row>
    <row r="235" spans="2:2">
      <c r="B235" s="66" t="s">
        <v>310</v>
      </c>
    </row>
    <row r="236" spans="2:2">
      <c r="B236" s="66" t="s">
        <v>310</v>
      </c>
    </row>
    <row r="237" spans="2:2">
      <c r="B237" s="66" t="s">
        <v>310</v>
      </c>
    </row>
    <row r="238" spans="2:2">
      <c r="B238" s="66" t="s">
        <v>310</v>
      </c>
    </row>
    <row r="239" spans="2:2">
      <c r="B239" s="66" t="s">
        <v>310</v>
      </c>
    </row>
    <row r="240" spans="2:2">
      <c r="B240" s="66" t="s">
        <v>310</v>
      </c>
    </row>
    <row r="241" spans="2:2">
      <c r="B241" s="66" t="s">
        <v>310</v>
      </c>
    </row>
    <row r="242" spans="2:2">
      <c r="B242" s="66" t="s">
        <v>310</v>
      </c>
    </row>
    <row r="243" spans="2:2">
      <c r="B243" s="66" t="s">
        <v>310</v>
      </c>
    </row>
    <row r="244" spans="2:2">
      <c r="B244" s="66" t="s">
        <v>310</v>
      </c>
    </row>
    <row r="245" spans="2:2">
      <c r="B245" s="66" t="s">
        <v>310</v>
      </c>
    </row>
    <row r="246" spans="2:2">
      <c r="B246" s="66" t="s">
        <v>310</v>
      </c>
    </row>
    <row r="247" spans="2:2">
      <c r="B247" s="66" t="s">
        <v>310</v>
      </c>
    </row>
    <row r="248" spans="2:2">
      <c r="B248" s="66" t="s">
        <v>310</v>
      </c>
    </row>
    <row r="249" spans="2:2">
      <c r="B249" s="66" t="s">
        <v>310</v>
      </c>
    </row>
    <row r="250" spans="2:2">
      <c r="B250" s="66" t="s">
        <v>310</v>
      </c>
    </row>
    <row r="251" spans="2:2">
      <c r="B251" s="66" t="s">
        <v>310</v>
      </c>
    </row>
    <row r="252" spans="2:2">
      <c r="B252" s="66" t="s">
        <v>310</v>
      </c>
    </row>
    <row r="253" spans="2:2">
      <c r="B253" s="66" t="s">
        <v>310</v>
      </c>
    </row>
    <row r="254" spans="2:2">
      <c r="B254" s="66" t="s">
        <v>310</v>
      </c>
    </row>
    <row r="255" spans="2:2">
      <c r="B255" s="66" t="s">
        <v>310</v>
      </c>
    </row>
    <row r="256" spans="2:2">
      <c r="B256" s="66" t="s">
        <v>310</v>
      </c>
    </row>
    <row r="257" spans="2:2">
      <c r="B257" s="66" t="s">
        <v>310</v>
      </c>
    </row>
    <row r="258" spans="2:2">
      <c r="B258" s="66" t="s">
        <v>310</v>
      </c>
    </row>
    <row r="259" spans="2:2">
      <c r="B259" s="66" t="s">
        <v>310</v>
      </c>
    </row>
    <row r="260" spans="2:2">
      <c r="B260" s="66" t="s">
        <v>310</v>
      </c>
    </row>
    <row r="261" spans="2:2">
      <c r="B261" s="66" t="s">
        <v>310</v>
      </c>
    </row>
    <row r="262" spans="2:2">
      <c r="B262" s="66" t="s">
        <v>310</v>
      </c>
    </row>
    <row r="263" spans="2:2">
      <c r="B263" s="66" t="s">
        <v>310</v>
      </c>
    </row>
    <row r="264" spans="2:2">
      <c r="B264" s="66" t="s">
        <v>310</v>
      </c>
    </row>
    <row r="265" spans="2:2">
      <c r="B265" s="66" t="s">
        <v>310</v>
      </c>
    </row>
    <row r="266" spans="2:2">
      <c r="B266" s="66" t="s">
        <v>310</v>
      </c>
    </row>
    <row r="267" spans="2:2">
      <c r="B267" s="66" t="s">
        <v>310</v>
      </c>
    </row>
    <row r="268" spans="2:2">
      <c r="B268" s="66" t="s">
        <v>310</v>
      </c>
    </row>
    <row r="269" spans="2:2">
      <c r="B269" s="66" t="s">
        <v>310</v>
      </c>
    </row>
    <row r="270" spans="2:2">
      <c r="B270" s="66" t="s">
        <v>310</v>
      </c>
    </row>
    <row r="271" spans="2:2">
      <c r="B271" s="66" t="s">
        <v>310</v>
      </c>
    </row>
    <row r="272" spans="2:2">
      <c r="B272" s="66" t="s">
        <v>310</v>
      </c>
    </row>
    <row r="273" spans="2:2">
      <c r="B273" s="66" t="s">
        <v>310</v>
      </c>
    </row>
    <row r="274" spans="2:2">
      <c r="B274" s="66" t="s">
        <v>310</v>
      </c>
    </row>
    <row r="275" spans="2:2">
      <c r="B275" s="66" t="s">
        <v>310</v>
      </c>
    </row>
    <row r="276" spans="2:2">
      <c r="B276" s="66" t="s">
        <v>310</v>
      </c>
    </row>
    <row r="277" spans="2:2">
      <c r="B277" s="66" t="s">
        <v>310</v>
      </c>
    </row>
    <row r="278" spans="2:2">
      <c r="B278" s="66" t="s">
        <v>310</v>
      </c>
    </row>
    <row r="279" spans="2:2">
      <c r="B279" s="66" t="s">
        <v>310</v>
      </c>
    </row>
    <row r="280" spans="2:2">
      <c r="B280" s="66" t="s">
        <v>310</v>
      </c>
    </row>
    <row r="281" spans="2:2">
      <c r="B281" s="66" t="s">
        <v>310</v>
      </c>
    </row>
    <row r="282" spans="2:2">
      <c r="B282" s="66" t="s">
        <v>310</v>
      </c>
    </row>
    <row r="283" spans="2:2">
      <c r="B283" s="66" t="s">
        <v>310</v>
      </c>
    </row>
    <row r="284" spans="2:2">
      <c r="B284" s="66" t="s">
        <v>310</v>
      </c>
    </row>
    <row r="285" spans="2:2">
      <c r="B285" s="66" t="s">
        <v>310</v>
      </c>
    </row>
    <row r="286" spans="2:2">
      <c r="B286" s="66" t="s">
        <v>310</v>
      </c>
    </row>
    <row r="287" spans="2:2">
      <c r="B287" s="66" t="s">
        <v>310</v>
      </c>
    </row>
    <row r="288" spans="2:2">
      <c r="B288" s="66" t="s">
        <v>310</v>
      </c>
    </row>
    <row r="289" spans="2:2">
      <c r="B289" s="66" t="s">
        <v>310</v>
      </c>
    </row>
    <row r="290" spans="2:2">
      <c r="B290" s="66" t="s">
        <v>310</v>
      </c>
    </row>
    <row r="291" spans="2:2">
      <c r="B291" s="66" t="s">
        <v>310</v>
      </c>
    </row>
    <row r="292" spans="2:2">
      <c r="B292" s="66" t="s">
        <v>310</v>
      </c>
    </row>
    <row r="293" spans="2:2">
      <c r="B293" s="66" t="s">
        <v>310</v>
      </c>
    </row>
    <row r="294" spans="2:2">
      <c r="B294" s="66" t="s">
        <v>310</v>
      </c>
    </row>
    <row r="295" spans="2:2">
      <c r="B295" s="66" t="s">
        <v>310</v>
      </c>
    </row>
    <row r="296" spans="2:2">
      <c r="B296" s="66" t="s">
        <v>310</v>
      </c>
    </row>
    <row r="297" spans="2:2">
      <c r="B297" s="66" t="s">
        <v>310</v>
      </c>
    </row>
    <row r="298" spans="2:2">
      <c r="B298" s="66" t="s">
        <v>310</v>
      </c>
    </row>
    <row r="299" spans="2:2">
      <c r="B299" s="66" t="s">
        <v>310</v>
      </c>
    </row>
    <row r="300" spans="2:2">
      <c r="B300" s="66" t="s">
        <v>310</v>
      </c>
    </row>
    <row r="301" spans="2:2">
      <c r="B301" s="66" t="s">
        <v>310</v>
      </c>
    </row>
    <row r="302" spans="2:2">
      <c r="B302" s="66" t="s">
        <v>310</v>
      </c>
    </row>
    <row r="303" spans="2:2">
      <c r="B303" s="66" t="s">
        <v>310</v>
      </c>
    </row>
    <row r="304" spans="2:2">
      <c r="B304" s="66" t="s">
        <v>310</v>
      </c>
    </row>
    <row r="305" spans="2:2">
      <c r="B305" s="66" t="s">
        <v>310</v>
      </c>
    </row>
    <row r="306" spans="2:2">
      <c r="B306" s="66" t="s">
        <v>310</v>
      </c>
    </row>
    <row r="307" spans="2:2">
      <c r="B307" s="66" t="s">
        <v>310</v>
      </c>
    </row>
    <row r="308" spans="2:2">
      <c r="B308" s="66" t="s">
        <v>310</v>
      </c>
    </row>
    <row r="309" spans="2:2">
      <c r="B309" s="66" t="s">
        <v>310</v>
      </c>
    </row>
    <row r="310" spans="2:2">
      <c r="B310" s="66" t="s">
        <v>310</v>
      </c>
    </row>
    <row r="311" spans="2:2">
      <c r="B311" s="66" t="s">
        <v>310</v>
      </c>
    </row>
    <row r="312" spans="2:2">
      <c r="B312" s="66" t="s">
        <v>310</v>
      </c>
    </row>
    <row r="313" spans="2:2">
      <c r="B313" s="66" t="s">
        <v>310</v>
      </c>
    </row>
    <row r="314" spans="2:2">
      <c r="B314" s="66" t="s">
        <v>310</v>
      </c>
    </row>
    <row r="315" spans="2:2">
      <c r="B315" s="66" t="s">
        <v>310</v>
      </c>
    </row>
    <row r="316" spans="2:2">
      <c r="B316" s="66" t="s">
        <v>310</v>
      </c>
    </row>
    <row r="317" spans="2:2">
      <c r="B317" s="66" t="s">
        <v>310</v>
      </c>
    </row>
    <row r="318" spans="2:2">
      <c r="B318" s="66" t="s">
        <v>310</v>
      </c>
    </row>
    <row r="319" spans="2:2">
      <c r="B319" s="66" t="s">
        <v>310</v>
      </c>
    </row>
    <row r="320" spans="2:2">
      <c r="B320" s="66" t="s">
        <v>310</v>
      </c>
    </row>
    <row r="321" spans="2:2">
      <c r="B321" s="66" t="s">
        <v>310</v>
      </c>
    </row>
    <row r="322" spans="2:2">
      <c r="B322" s="66" t="s">
        <v>310</v>
      </c>
    </row>
    <row r="323" spans="2:2">
      <c r="B323" s="66" t="s">
        <v>310</v>
      </c>
    </row>
    <row r="324" spans="2:2">
      <c r="B324" s="66" t="s">
        <v>310</v>
      </c>
    </row>
    <row r="325" spans="2:2">
      <c r="B325" s="66" t="s">
        <v>310</v>
      </c>
    </row>
    <row r="326" spans="2:2">
      <c r="B326" s="66" t="s">
        <v>310</v>
      </c>
    </row>
    <row r="327" spans="2:2">
      <c r="B327" s="66" t="s">
        <v>310</v>
      </c>
    </row>
    <row r="328" spans="2:2">
      <c r="B328" s="66" t="s">
        <v>310</v>
      </c>
    </row>
    <row r="329" spans="2:2">
      <c r="B329" s="66" t="s">
        <v>310</v>
      </c>
    </row>
    <row r="330" spans="2:2">
      <c r="B330" s="66" t="s">
        <v>310</v>
      </c>
    </row>
    <row r="331" spans="2:2">
      <c r="B331" s="66" t="s">
        <v>310</v>
      </c>
    </row>
    <row r="332" spans="2:2">
      <c r="B332" s="66" t="s">
        <v>310</v>
      </c>
    </row>
    <row r="333" spans="2:2">
      <c r="B333" s="66" t="s">
        <v>310</v>
      </c>
    </row>
    <row r="334" spans="2:2">
      <c r="B334" s="66" t="s">
        <v>310</v>
      </c>
    </row>
    <row r="335" spans="2:2">
      <c r="B335" s="66" t="s">
        <v>310</v>
      </c>
    </row>
    <row r="336" spans="2:2">
      <c r="B336" s="66" t="s">
        <v>310</v>
      </c>
    </row>
    <row r="337" spans="2:2">
      <c r="B337" s="66" t="s">
        <v>310</v>
      </c>
    </row>
    <row r="338" spans="2:2">
      <c r="B338" s="66" t="s">
        <v>310</v>
      </c>
    </row>
    <row r="339" spans="2:2">
      <c r="B339" s="66" t="s">
        <v>310</v>
      </c>
    </row>
    <row r="340" spans="2:2">
      <c r="B340" s="66" t="s">
        <v>310</v>
      </c>
    </row>
    <row r="341" spans="2:2">
      <c r="B341" s="66" t="s">
        <v>310</v>
      </c>
    </row>
    <row r="342" spans="2:2">
      <c r="B342" s="66" t="s">
        <v>310</v>
      </c>
    </row>
    <row r="343" spans="2:2">
      <c r="B343" s="66" t="s">
        <v>310</v>
      </c>
    </row>
    <row r="344" spans="2:2">
      <c r="B344" s="66" t="s">
        <v>310</v>
      </c>
    </row>
    <row r="345" spans="2:2">
      <c r="B345" s="66" t="s">
        <v>310</v>
      </c>
    </row>
    <row r="346" spans="2:2">
      <c r="B346" s="66" t="s">
        <v>310</v>
      </c>
    </row>
    <row r="347" spans="2:2">
      <c r="B347" s="66" t="s">
        <v>310</v>
      </c>
    </row>
    <row r="348" spans="2:2">
      <c r="B348" s="66" t="s">
        <v>310</v>
      </c>
    </row>
    <row r="349" spans="2:2">
      <c r="B349" s="66" t="s">
        <v>310</v>
      </c>
    </row>
    <row r="350" spans="2:2">
      <c r="B350" s="66" t="s">
        <v>310</v>
      </c>
    </row>
    <row r="351" spans="2:2">
      <c r="B351" s="66" t="s">
        <v>310</v>
      </c>
    </row>
    <row r="352" spans="2:2">
      <c r="B352" s="66" t="s">
        <v>310</v>
      </c>
    </row>
    <row r="353" spans="2:2">
      <c r="B353" s="66" t="s">
        <v>310</v>
      </c>
    </row>
    <row r="354" spans="2:2">
      <c r="B354" s="66" t="s">
        <v>310</v>
      </c>
    </row>
    <row r="355" spans="2:2">
      <c r="B355" s="66" t="s">
        <v>310</v>
      </c>
    </row>
    <row r="356" spans="2:2">
      <c r="B356" s="66" t="s">
        <v>310</v>
      </c>
    </row>
    <row r="357" spans="2:2">
      <c r="B357" s="66" t="s">
        <v>310</v>
      </c>
    </row>
    <row r="358" spans="2:2">
      <c r="B358" s="66" t="s">
        <v>310</v>
      </c>
    </row>
    <row r="359" spans="2:2">
      <c r="B359" s="66" t="s">
        <v>310</v>
      </c>
    </row>
    <row r="360" spans="2:2">
      <c r="B360" s="66" t="s">
        <v>310</v>
      </c>
    </row>
    <row r="361" spans="2:2">
      <c r="B361" s="66" t="s">
        <v>310</v>
      </c>
    </row>
    <row r="362" spans="2:2">
      <c r="B362" s="66" t="s">
        <v>310</v>
      </c>
    </row>
    <row r="363" spans="2:2">
      <c r="B363" s="66" t="s">
        <v>310</v>
      </c>
    </row>
    <row r="364" spans="2:2">
      <c r="B364" s="66" t="s">
        <v>310</v>
      </c>
    </row>
    <row r="365" spans="2:2">
      <c r="B365" s="66" t="s">
        <v>310</v>
      </c>
    </row>
    <row r="366" spans="2:2">
      <c r="B366" s="66" t="s">
        <v>310</v>
      </c>
    </row>
    <row r="367" spans="2:2">
      <c r="B367" s="66" t="s">
        <v>310</v>
      </c>
    </row>
    <row r="368" spans="2:2">
      <c r="B368" s="66" t="s">
        <v>310</v>
      </c>
    </row>
    <row r="369" spans="2:2">
      <c r="B369" s="66" t="s">
        <v>310</v>
      </c>
    </row>
    <row r="370" spans="2:2">
      <c r="B370" s="66" t="s">
        <v>310</v>
      </c>
    </row>
    <row r="371" spans="2:2">
      <c r="B371" s="66" t="s">
        <v>310</v>
      </c>
    </row>
    <row r="372" spans="2:2">
      <c r="B372" s="66" t="s">
        <v>310</v>
      </c>
    </row>
    <row r="373" spans="2:2">
      <c r="B373" s="66" t="s">
        <v>310</v>
      </c>
    </row>
    <row r="374" spans="2:2">
      <c r="B374" s="66" t="s">
        <v>310</v>
      </c>
    </row>
    <row r="375" spans="2:2">
      <c r="B375" s="66" t="s">
        <v>310</v>
      </c>
    </row>
    <row r="376" spans="2:2">
      <c r="B376" s="66" t="s">
        <v>310</v>
      </c>
    </row>
    <row r="377" spans="2:2">
      <c r="B377" s="66" t="s">
        <v>310</v>
      </c>
    </row>
    <row r="378" spans="2:2">
      <c r="B378" s="66" t="s">
        <v>310</v>
      </c>
    </row>
    <row r="379" spans="2:2">
      <c r="B379" s="66" t="s">
        <v>310</v>
      </c>
    </row>
    <row r="380" spans="2:2">
      <c r="B380" s="66" t="s">
        <v>310</v>
      </c>
    </row>
    <row r="381" spans="2:2">
      <c r="B381" s="66" t="s">
        <v>310</v>
      </c>
    </row>
    <row r="382" spans="2:2">
      <c r="B382" s="66" t="s">
        <v>310</v>
      </c>
    </row>
    <row r="383" spans="2:2">
      <c r="B383" s="66" t="s">
        <v>310</v>
      </c>
    </row>
    <row r="384" spans="2:2">
      <c r="B384" s="66" t="s">
        <v>310</v>
      </c>
    </row>
    <row r="385" spans="2:2">
      <c r="B385" s="66" t="s">
        <v>310</v>
      </c>
    </row>
    <row r="386" spans="2:2">
      <c r="B386" s="66" t="s">
        <v>310</v>
      </c>
    </row>
    <row r="387" spans="2:2">
      <c r="B387" s="66" t="s">
        <v>310</v>
      </c>
    </row>
    <row r="388" spans="2:2">
      <c r="B388" s="66" t="s">
        <v>310</v>
      </c>
    </row>
    <row r="389" spans="2:2">
      <c r="B389" s="66" t="s">
        <v>310</v>
      </c>
    </row>
    <row r="390" spans="2:2">
      <c r="B390" s="66" t="s">
        <v>310</v>
      </c>
    </row>
    <row r="391" spans="2:2">
      <c r="B391" s="66" t="s">
        <v>310</v>
      </c>
    </row>
    <row r="392" spans="2:2">
      <c r="B392" s="66" t="s">
        <v>310</v>
      </c>
    </row>
    <row r="393" spans="2:2">
      <c r="B393" s="66" t="s">
        <v>310</v>
      </c>
    </row>
    <row r="394" spans="2:2">
      <c r="B394" s="66" t="s">
        <v>310</v>
      </c>
    </row>
    <row r="395" spans="2:2">
      <c r="B395" s="66" t="s">
        <v>310</v>
      </c>
    </row>
    <row r="396" spans="2:2">
      <c r="B396" s="66" t="s">
        <v>310</v>
      </c>
    </row>
    <row r="397" spans="2:2">
      <c r="B397" s="66" t="s">
        <v>310</v>
      </c>
    </row>
    <row r="398" spans="2:2">
      <c r="B398" s="66" t="s">
        <v>310</v>
      </c>
    </row>
    <row r="399" spans="2:2">
      <c r="B399" s="66" t="s">
        <v>310</v>
      </c>
    </row>
    <row r="400" spans="2:2">
      <c r="B400" s="66" t="s">
        <v>310</v>
      </c>
    </row>
    <row r="401" spans="2:2">
      <c r="B401" s="66" t="s">
        <v>310</v>
      </c>
    </row>
    <row r="402" spans="2:2">
      <c r="B402" s="66" t="s">
        <v>310</v>
      </c>
    </row>
    <row r="403" spans="2:2">
      <c r="B403" s="66" t="s">
        <v>310</v>
      </c>
    </row>
    <row r="404" spans="2:2">
      <c r="B404" s="66" t="s">
        <v>310</v>
      </c>
    </row>
    <row r="405" spans="2:2">
      <c r="B405" s="66" t="s">
        <v>310</v>
      </c>
    </row>
    <row r="406" spans="2:2">
      <c r="B406" s="66" t="s">
        <v>310</v>
      </c>
    </row>
    <row r="407" spans="2:2">
      <c r="B407" s="66" t="s">
        <v>310</v>
      </c>
    </row>
    <row r="408" spans="2:2">
      <c r="B408" s="66" t="s">
        <v>310</v>
      </c>
    </row>
    <row r="409" spans="2:2">
      <c r="B409" s="66" t="s">
        <v>310</v>
      </c>
    </row>
    <row r="410" spans="2:2">
      <c r="B410" s="66" t="s">
        <v>310</v>
      </c>
    </row>
    <row r="411" spans="2:2">
      <c r="B411" s="66" t="s">
        <v>310</v>
      </c>
    </row>
    <row r="412" spans="2:2">
      <c r="B412" s="66" t="s">
        <v>310</v>
      </c>
    </row>
    <row r="413" spans="2:2">
      <c r="B413" s="66" t="s">
        <v>310</v>
      </c>
    </row>
    <row r="414" spans="2:2">
      <c r="B414" s="66" t="s">
        <v>310</v>
      </c>
    </row>
    <row r="415" spans="2:2">
      <c r="B415" s="66" t="s">
        <v>310</v>
      </c>
    </row>
    <row r="416" spans="2:2">
      <c r="B416" s="66" t="s">
        <v>310</v>
      </c>
    </row>
    <row r="417" spans="2:2">
      <c r="B417" s="66" t="s">
        <v>310</v>
      </c>
    </row>
    <row r="418" spans="2:2">
      <c r="B418" s="66" t="s">
        <v>310</v>
      </c>
    </row>
    <row r="419" spans="2:2">
      <c r="B419" s="66" t="s">
        <v>310</v>
      </c>
    </row>
    <row r="420" spans="2:2">
      <c r="B420" s="66" t="s">
        <v>310</v>
      </c>
    </row>
    <row r="421" spans="2:2">
      <c r="B421" s="66" t="s">
        <v>310</v>
      </c>
    </row>
    <row r="422" spans="2:2">
      <c r="B422" s="66" t="s">
        <v>310</v>
      </c>
    </row>
    <row r="423" spans="2:2">
      <c r="B423" s="66" t="s">
        <v>310</v>
      </c>
    </row>
    <row r="424" spans="2:2">
      <c r="B424" s="66" t="s">
        <v>310</v>
      </c>
    </row>
    <row r="425" spans="2:2">
      <c r="B425" s="66" t="s">
        <v>310</v>
      </c>
    </row>
    <row r="426" spans="2:2">
      <c r="B426" s="66" t="s">
        <v>310</v>
      </c>
    </row>
    <row r="427" spans="2:2">
      <c r="B427" s="66" t="s">
        <v>310</v>
      </c>
    </row>
    <row r="428" spans="2:2">
      <c r="B428" s="66" t="s">
        <v>310</v>
      </c>
    </row>
    <row r="429" spans="2:2">
      <c r="B429" s="66" t="s">
        <v>310</v>
      </c>
    </row>
    <row r="430" spans="2:2">
      <c r="B430" s="66" t="s">
        <v>310</v>
      </c>
    </row>
    <row r="431" spans="2:2">
      <c r="B431" s="66" t="s">
        <v>310</v>
      </c>
    </row>
    <row r="432" spans="2:2">
      <c r="B432" s="66" t="s">
        <v>310</v>
      </c>
    </row>
    <row r="433" spans="2:2">
      <c r="B433" s="66" t="s">
        <v>310</v>
      </c>
    </row>
    <row r="434" spans="2:2">
      <c r="B434" s="66" t="s">
        <v>310</v>
      </c>
    </row>
    <row r="435" spans="2:2">
      <c r="B435" s="66" t="s">
        <v>310</v>
      </c>
    </row>
    <row r="436" spans="2:2">
      <c r="B436" s="66" t="s">
        <v>310</v>
      </c>
    </row>
    <row r="437" spans="2:2">
      <c r="B437" s="66" t="s">
        <v>310</v>
      </c>
    </row>
    <row r="438" spans="2:2">
      <c r="B438" s="66" t="s">
        <v>310</v>
      </c>
    </row>
    <row r="439" spans="2:2">
      <c r="B439" s="66" t="s">
        <v>310</v>
      </c>
    </row>
    <row r="440" spans="2:2">
      <c r="B440" s="66" t="s">
        <v>310</v>
      </c>
    </row>
    <row r="441" spans="2:2">
      <c r="B441" s="66" t="s">
        <v>310</v>
      </c>
    </row>
    <row r="442" spans="2:2">
      <c r="B442" s="66" t="s">
        <v>310</v>
      </c>
    </row>
    <row r="443" spans="2:2">
      <c r="B443" s="66" t="s">
        <v>310</v>
      </c>
    </row>
    <row r="444" spans="2:2">
      <c r="B444" s="66" t="s">
        <v>310</v>
      </c>
    </row>
    <row r="445" spans="2:2">
      <c r="B445" s="66" t="s">
        <v>310</v>
      </c>
    </row>
    <row r="446" spans="2:2">
      <c r="B446" s="66" t="s">
        <v>310</v>
      </c>
    </row>
    <row r="447" spans="2:2">
      <c r="B447" s="66" t="s">
        <v>310</v>
      </c>
    </row>
    <row r="448" spans="2:2">
      <c r="B448" s="66" t="s">
        <v>310</v>
      </c>
    </row>
    <row r="449" spans="2:2">
      <c r="B449" s="66" t="s">
        <v>310</v>
      </c>
    </row>
    <row r="450" spans="2:2">
      <c r="B450" s="66" t="s">
        <v>310</v>
      </c>
    </row>
    <row r="451" spans="2:2">
      <c r="B451" s="66" t="s">
        <v>310</v>
      </c>
    </row>
    <row r="452" spans="2:2">
      <c r="B452" s="66" t="s">
        <v>310</v>
      </c>
    </row>
    <row r="453" spans="2:2">
      <c r="B453" s="66" t="s">
        <v>310</v>
      </c>
    </row>
    <row r="454" spans="2:2">
      <c r="B454" s="66" t="s">
        <v>310</v>
      </c>
    </row>
    <row r="455" spans="2:2">
      <c r="B455" s="66" t="s">
        <v>310</v>
      </c>
    </row>
    <row r="456" spans="2:2">
      <c r="B456" s="66" t="s">
        <v>310</v>
      </c>
    </row>
    <row r="457" spans="2:2">
      <c r="B457" s="66" t="s">
        <v>310</v>
      </c>
    </row>
    <row r="458" spans="2:2">
      <c r="B458" s="66" t="s">
        <v>310</v>
      </c>
    </row>
    <row r="459" spans="2:2">
      <c r="B459" s="66" t="s">
        <v>310</v>
      </c>
    </row>
    <row r="460" spans="2:2">
      <c r="B460" s="66" t="s">
        <v>310</v>
      </c>
    </row>
    <row r="461" spans="2:2">
      <c r="B461" s="66" t="s">
        <v>310</v>
      </c>
    </row>
    <row r="462" spans="2:2">
      <c r="B462" s="66" t="s">
        <v>310</v>
      </c>
    </row>
    <row r="463" spans="2:2">
      <c r="B463" s="66" t="s">
        <v>310</v>
      </c>
    </row>
    <row r="464" spans="2:2">
      <c r="B464" s="66" t="s">
        <v>310</v>
      </c>
    </row>
    <row r="465" spans="2:2">
      <c r="B465" s="66" t="s">
        <v>310</v>
      </c>
    </row>
    <row r="466" spans="2:2">
      <c r="B466" s="66" t="s">
        <v>310</v>
      </c>
    </row>
    <row r="467" spans="2:2">
      <c r="B467" s="66" t="s">
        <v>310</v>
      </c>
    </row>
    <row r="468" spans="2:2">
      <c r="B468" s="66" t="s">
        <v>310</v>
      </c>
    </row>
    <row r="469" spans="2:2">
      <c r="B469" s="66" t="s">
        <v>310</v>
      </c>
    </row>
    <row r="470" spans="2:2">
      <c r="B470" s="66" t="s">
        <v>310</v>
      </c>
    </row>
    <row r="471" spans="2:2">
      <c r="B471" s="66" t="s">
        <v>310</v>
      </c>
    </row>
    <row r="472" spans="2:2">
      <c r="B472" s="66" t="s">
        <v>310</v>
      </c>
    </row>
    <row r="473" spans="2:2">
      <c r="B473" s="66" t="s">
        <v>310</v>
      </c>
    </row>
    <row r="474" spans="2:2">
      <c r="B474" s="66" t="s">
        <v>310</v>
      </c>
    </row>
    <row r="475" spans="2:2">
      <c r="B475" s="66" t="s">
        <v>310</v>
      </c>
    </row>
    <row r="476" spans="2:2">
      <c r="B476" s="66" t="s">
        <v>310</v>
      </c>
    </row>
    <row r="477" spans="2:2">
      <c r="B477" s="66" t="s">
        <v>310</v>
      </c>
    </row>
    <row r="478" spans="2:2">
      <c r="B478" s="66" t="s">
        <v>310</v>
      </c>
    </row>
    <row r="479" spans="2:2">
      <c r="B479" s="66" t="s">
        <v>310</v>
      </c>
    </row>
    <row r="480" spans="2:2">
      <c r="B480" s="66" t="s">
        <v>310</v>
      </c>
    </row>
    <row r="481" spans="2:2">
      <c r="B481" s="66" t="s">
        <v>310</v>
      </c>
    </row>
    <row r="482" spans="2:2">
      <c r="B482" s="66" t="s">
        <v>310</v>
      </c>
    </row>
    <row r="483" spans="2:2">
      <c r="B483" s="66" t="s">
        <v>310</v>
      </c>
    </row>
    <row r="484" spans="2:2">
      <c r="B484" s="66" t="s">
        <v>310</v>
      </c>
    </row>
    <row r="485" spans="2:2">
      <c r="B485" s="66" t="s">
        <v>310</v>
      </c>
    </row>
    <row r="486" spans="2:2">
      <c r="B486" s="66" t="s">
        <v>310</v>
      </c>
    </row>
    <row r="487" spans="2:2">
      <c r="B487" s="66" t="s">
        <v>310</v>
      </c>
    </row>
    <row r="488" spans="2:2">
      <c r="B488" s="66" t="s">
        <v>310</v>
      </c>
    </row>
    <row r="489" spans="2:2">
      <c r="B489" s="66" t="s">
        <v>310</v>
      </c>
    </row>
    <row r="490" spans="2:2">
      <c r="B490" s="66" t="s">
        <v>310</v>
      </c>
    </row>
    <row r="491" spans="2:2">
      <c r="B491" s="66" t="s">
        <v>310</v>
      </c>
    </row>
    <row r="492" spans="2:2">
      <c r="B492" s="66" t="s">
        <v>310</v>
      </c>
    </row>
    <row r="493" spans="2:2">
      <c r="B493" s="66" t="s">
        <v>310</v>
      </c>
    </row>
    <row r="494" spans="2:2">
      <c r="B494" s="66" t="s">
        <v>310</v>
      </c>
    </row>
    <row r="495" spans="2:2">
      <c r="B495" s="66" t="s">
        <v>310</v>
      </c>
    </row>
    <row r="496" spans="2:2">
      <c r="B496" s="66" t="s">
        <v>310</v>
      </c>
    </row>
    <row r="497" spans="2:2">
      <c r="B497" s="66" t="s">
        <v>310</v>
      </c>
    </row>
    <row r="498" spans="2:2">
      <c r="B498" s="66" t="s">
        <v>310</v>
      </c>
    </row>
    <row r="499" spans="2:2">
      <c r="B499" s="66" t="s">
        <v>310</v>
      </c>
    </row>
    <row r="500" spans="2:2">
      <c r="B500" s="66" t="s">
        <v>310</v>
      </c>
    </row>
    <row r="501" spans="2:2">
      <c r="B501" s="66" t="s">
        <v>310</v>
      </c>
    </row>
    <row r="502" spans="2:2">
      <c r="B502" s="66" t="s">
        <v>310</v>
      </c>
    </row>
    <row r="503" spans="2:2">
      <c r="B503" s="66" t="s">
        <v>310</v>
      </c>
    </row>
    <row r="504" spans="2:2">
      <c r="B504" s="66" t="s">
        <v>310</v>
      </c>
    </row>
    <row r="505" spans="2:2">
      <c r="B505" s="66" t="s">
        <v>310</v>
      </c>
    </row>
    <row r="506" spans="2:2">
      <c r="B506" s="66" t="s">
        <v>310</v>
      </c>
    </row>
    <row r="507" spans="2:2">
      <c r="B507" s="66" t="s">
        <v>310</v>
      </c>
    </row>
    <row r="508" spans="2:2">
      <c r="B508" s="66" t="s">
        <v>310</v>
      </c>
    </row>
    <row r="509" spans="2:2">
      <c r="B509" s="66" t="s">
        <v>310</v>
      </c>
    </row>
    <row r="510" spans="2:2">
      <c r="B510" s="66" t="s">
        <v>310</v>
      </c>
    </row>
    <row r="511" spans="2:2">
      <c r="B511" s="66" t="s">
        <v>310</v>
      </c>
    </row>
    <row r="512" spans="2:2">
      <c r="B512" s="66" t="s">
        <v>310</v>
      </c>
    </row>
    <row r="513" spans="2:2">
      <c r="B513" s="66" t="s">
        <v>310</v>
      </c>
    </row>
    <row r="514" spans="2:2">
      <c r="B514" s="66" t="s">
        <v>310</v>
      </c>
    </row>
    <row r="515" spans="2:2">
      <c r="B515" s="66" t="s">
        <v>310</v>
      </c>
    </row>
    <row r="516" spans="2:2">
      <c r="B516" s="66" t="s">
        <v>310</v>
      </c>
    </row>
    <row r="517" spans="2:2">
      <c r="B517" s="66" t="s">
        <v>310</v>
      </c>
    </row>
    <row r="518" spans="2:2">
      <c r="B518" s="66" t="s">
        <v>310</v>
      </c>
    </row>
    <row r="519" spans="2:2">
      <c r="B519" s="66" t="s">
        <v>310</v>
      </c>
    </row>
    <row r="520" spans="2:2">
      <c r="B520" s="66" t="s">
        <v>310</v>
      </c>
    </row>
    <row r="521" spans="2:2">
      <c r="B521" s="66" t="s">
        <v>310</v>
      </c>
    </row>
    <row r="522" spans="2:2">
      <c r="B522" s="66" t="s">
        <v>310</v>
      </c>
    </row>
    <row r="523" spans="2:2">
      <c r="B523" s="66" t="s">
        <v>310</v>
      </c>
    </row>
    <row r="524" spans="2:2">
      <c r="B524" s="66" t="s">
        <v>310</v>
      </c>
    </row>
    <row r="525" spans="2:2">
      <c r="B525" s="66" t="s">
        <v>310</v>
      </c>
    </row>
    <row r="526" spans="2:2">
      <c r="B526" s="66" t="s">
        <v>310</v>
      </c>
    </row>
    <row r="527" spans="2:2">
      <c r="B527" s="66" t="s">
        <v>310</v>
      </c>
    </row>
    <row r="528" spans="2:2">
      <c r="B528" s="66" t="s">
        <v>310</v>
      </c>
    </row>
    <row r="529" spans="2:2">
      <c r="B529" s="66" t="s">
        <v>310</v>
      </c>
    </row>
    <row r="530" spans="2:2">
      <c r="B530" s="66" t="s">
        <v>310</v>
      </c>
    </row>
    <row r="531" spans="2:2">
      <c r="B531" s="66" t="s">
        <v>310</v>
      </c>
    </row>
    <row r="532" spans="2:2">
      <c r="B532" s="66" t="s">
        <v>310</v>
      </c>
    </row>
    <row r="533" spans="2:2">
      <c r="B533" s="66" t="s">
        <v>310</v>
      </c>
    </row>
    <row r="534" spans="2:2">
      <c r="B534" s="66" t="s">
        <v>310</v>
      </c>
    </row>
    <row r="535" spans="2:2">
      <c r="B535" s="66" t="s">
        <v>310</v>
      </c>
    </row>
    <row r="536" spans="2:2">
      <c r="B536" s="66" t="s">
        <v>310</v>
      </c>
    </row>
    <row r="537" spans="2:2">
      <c r="B537" s="66" t="s">
        <v>310</v>
      </c>
    </row>
    <row r="538" spans="2:2">
      <c r="B538" s="66" t="s">
        <v>310</v>
      </c>
    </row>
    <row r="539" spans="2:2">
      <c r="B539" s="66" t="s">
        <v>310</v>
      </c>
    </row>
    <row r="540" spans="2:2">
      <c r="B540" s="66" t="s">
        <v>310</v>
      </c>
    </row>
    <row r="541" spans="2:2">
      <c r="B541" s="66" t="s">
        <v>310</v>
      </c>
    </row>
    <row r="542" spans="2:2">
      <c r="B542" s="66" t="s">
        <v>310</v>
      </c>
    </row>
    <row r="543" spans="2:2">
      <c r="B543" s="66" t="s">
        <v>310</v>
      </c>
    </row>
    <row r="544" spans="2:2">
      <c r="B544" s="66" t="s">
        <v>310</v>
      </c>
    </row>
    <row r="545" spans="2:2">
      <c r="B545" s="66" t="s">
        <v>310</v>
      </c>
    </row>
    <row r="546" spans="2:2">
      <c r="B546" s="66" t="s">
        <v>310</v>
      </c>
    </row>
    <row r="547" spans="2:2">
      <c r="B547" s="66" t="s">
        <v>310</v>
      </c>
    </row>
    <row r="548" spans="2:2">
      <c r="B548" s="66" t="s">
        <v>310</v>
      </c>
    </row>
    <row r="549" spans="2:2">
      <c r="B549" s="66" t="s">
        <v>310</v>
      </c>
    </row>
    <row r="550" spans="2:2">
      <c r="B550" s="66" t="s">
        <v>310</v>
      </c>
    </row>
    <row r="551" spans="2:2">
      <c r="B551" s="66" t="s">
        <v>310</v>
      </c>
    </row>
    <row r="552" spans="2:2">
      <c r="B552" s="66" t="s">
        <v>310</v>
      </c>
    </row>
    <row r="553" spans="2:2">
      <c r="B553" s="66" t="s">
        <v>310</v>
      </c>
    </row>
    <row r="554" spans="2:2">
      <c r="B554" s="66" t="s">
        <v>310</v>
      </c>
    </row>
    <row r="555" spans="2:2">
      <c r="B555" s="66" t="s">
        <v>310</v>
      </c>
    </row>
    <row r="556" spans="2:2">
      <c r="B556" s="66" t="s">
        <v>310</v>
      </c>
    </row>
    <row r="557" spans="2:2">
      <c r="B557" s="66" t="s">
        <v>310</v>
      </c>
    </row>
    <row r="558" spans="2:2">
      <c r="B558" s="66" t="s">
        <v>310</v>
      </c>
    </row>
    <row r="559" spans="2:2">
      <c r="B559" s="66" t="s">
        <v>310</v>
      </c>
    </row>
    <row r="560" spans="2:2">
      <c r="B560" s="66" t="s">
        <v>310</v>
      </c>
    </row>
    <row r="561" spans="2:2">
      <c r="B561" s="66" t="s">
        <v>310</v>
      </c>
    </row>
    <row r="562" spans="2:2">
      <c r="B562" s="66" t="s">
        <v>310</v>
      </c>
    </row>
    <row r="563" spans="2:2">
      <c r="B563" s="66" t="s">
        <v>310</v>
      </c>
    </row>
    <row r="564" spans="2:2">
      <c r="B564" s="66" t="s">
        <v>310</v>
      </c>
    </row>
    <row r="565" spans="2:2">
      <c r="B565" s="66" t="s">
        <v>310</v>
      </c>
    </row>
    <row r="566" spans="2:2">
      <c r="B566" s="66" t="s">
        <v>310</v>
      </c>
    </row>
    <row r="567" spans="2:2">
      <c r="B567" s="66" t="s">
        <v>310</v>
      </c>
    </row>
    <row r="568" spans="2:2">
      <c r="B568" s="66" t="s">
        <v>310</v>
      </c>
    </row>
    <row r="569" spans="2:2">
      <c r="B569" s="66" t="s">
        <v>310</v>
      </c>
    </row>
    <row r="570" spans="2:2">
      <c r="B570" s="66" t="s">
        <v>310</v>
      </c>
    </row>
    <row r="571" spans="2:2">
      <c r="B571" s="66" t="s">
        <v>310</v>
      </c>
    </row>
    <row r="572" spans="2:2">
      <c r="B572" s="66" t="s">
        <v>310</v>
      </c>
    </row>
    <row r="573" spans="2:2">
      <c r="B573" s="66" t="s">
        <v>310</v>
      </c>
    </row>
    <row r="574" spans="2:2">
      <c r="B574" s="66" t="s">
        <v>310</v>
      </c>
    </row>
    <row r="575" spans="2:2">
      <c r="B575" s="66" t="s">
        <v>310</v>
      </c>
    </row>
    <row r="576" spans="2:2">
      <c r="B576" s="66" t="s">
        <v>310</v>
      </c>
    </row>
    <row r="577" spans="2:2">
      <c r="B577" s="66" t="s">
        <v>310</v>
      </c>
    </row>
    <row r="578" spans="2:2">
      <c r="B578" s="66" t="s">
        <v>310</v>
      </c>
    </row>
    <row r="579" spans="2:2">
      <c r="B579" s="66" t="s">
        <v>310</v>
      </c>
    </row>
    <row r="580" spans="2:2">
      <c r="B580" s="66" t="s">
        <v>310</v>
      </c>
    </row>
    <row r="581" spans="2:2">
      <c r="B581" s="66" t="s">
        <v>310</v>
      </c>
    </row>
    <row r="582" spans="2:2">
      <c r="B582" s="66" t="s">
        <v>310</v>
      </c>
    </row>
    <row r="583" spans="2:2">
      <c r="B583" s="66" t="s">
        <v>310</v>
      </c>
    </row>
    <row r="584" spans="2:2">
      <c r="B584" s="66" t="s">
        <v>310</v>
      </c>
    </row>
    <row r="585" spans="2:2">
      <c r="B585" s="66" t="s">
        <v>310</v>
      </c>
    </row>
    <row r="586" spans="2:2">
      <c r="B586" s="66" t="s">
        <v>310</v>
      </c>
    </row>
    <row r="587" spans="2:2">
      <c r="B587" s="66" t="s">
        <v>310</v>
      </c>
    </row>
    <row r="588" spans="2:2">
      <c r="B588" s="66" t="s">
        <v>310</v>
      </c>
    </row>
    <row r="589" spans="2:2">
      <c r="B589" s="66" t="s">
        <v>310</v>
      </c>
    </row>
    <row r="590" spans="2:2">
      <c r="B590" s="66" t="s">
        <v>310</v>
      </c>
    </row>
    <row r="591" spans="2:2">
      <c r="B591" s="66" t="s">
        <v>310</v>
      </c>
    </row>
    <row r="592" spans="2:2">
      <c r="B592" s="66" t="s">
        <v>310</v>
      </c>
    </row>
    <row r="593" spans="2:2">
      <c r="B593" s="66" t="s">
        <v>310</v>
      </c>
    </row>
    <row r="594" spans="2:2">
      <c r="B594" s="66" t="s">
        <v>310</v>
      </c>
    </row>
    <row r="595" spans="2:2">
      <c r="B595" s="66" t="s">
        <v>310</v>
      </c>
    </row>
    <row r="596" spans="2:2">
      <c r="B596" s="66" t="s">
        <v>310</v>
      </c>
    </row>
    <row r="597" spans="2:2">
      <c r="B597" s="66" t="s">
        <v>310</v>
      </c>
    </row>
    <row r="598" spans="2:2">
      <c r="B598" s="66" t="s">
        <v>310</v>
      </c>
    </row>
    <row r="599" spans="2:2">
      <c r="B599" s="66" t="s">
        <v>310</v>
      </c>
    </row>
    <row r="600" spans="2:2">
      <c r="B600" s="66" t="s">
        <v>310</v>
      </c>
    </row>
    <row r="601" spans="2:2">
      <c r="B601" s="66" t="s">
        <v>310</v>
      </c>
    </row>
    <row r="602" spans="2:2">
      <c r="B602" s="66" t="s">
        <v>310</v>
      </c>
    </row>
    <row r="603" spans="2:2">
      <c r="B603" s="66" t="s">
        <v>310</v>
      </c>
    </row>
    <row r="604" spans="2:2">
      <c r="B604" s="66" t="s">
        <v>310</v>
      </c>
    </row>
    <row r="605" spans="2:2">
      <c r="B605" s="66" t="s">
        <v>310</v>
      </c>
    </row>
    <row r="606" spans="2:2">
      <c r="B606" s="66" t="s">
        <v>310</v>
      </c>
    </row>
    <row r="607" spans="2:2">
      <c r="B607" s="66" t="s">
        <v>310</v>
      </c>
    </row>
    <row r="608" spans="2:2">
      <c r="B608" s="66" t="s">
        <v>310</v>
      </c>
    </row>
    <row r="609" spans="2:2">
      <c r="B609" s="66" t="s">
        <v>310</v>
      </c>
    </row>
    <row r="610" spans="2:2">
      <c r="B610" s="66" t="s">
        <v>310</v>
      </c>
    </row>
    <row r="611" spans="2:2">
      <c r="B611" s="66" t="s">
        <v>310</v>
      </c>
    </row>
    <row r="612" spans="2:2">
      <c r="B612" s="66" t="s">
        <v>310</v>
      </c>
    </row>
    <row r="613" spans="2:2">
      <c r="B613" s="66" t="s">
        <v>310</v>
      </c>
    </row>
    <row r="614" spans="2:2">
      <c r="B614" s="66" t="s">
        <v>310</v>
      </c>
    </row>
    <row r="615" spans="2:2">
      <c r="B615" s="66" t="s">
        <v>310</v>
      </c>
    </row>
    <row r="616" spans="2:2">
      <c r="B616" s="66" t="s">
        <v>310</v>
      </c>
    </row>
    <row r="617" spans="2:2">
      <c r="B617" s="66" t="s">
        <v>310</v>
      </c>
    </row>
    <row r="618" spans="2:2">
      <c r="B618" s="66" t="s">
        <v>310</v>
      </c>
    </row>
    <row r="619" spans="2:2">
      <c r="B619" s="66" t="s">
        <v>310</v>
      </c>
    </row>
    <row r="620" spans="2:2">
      <c r="B620" s="66" t="s">
        <v>310</v>
      </c>
    </row>
    <row r="621" spans="2:2">
      <c r="B621" s="66" t="s">
        <v>310</v>
      </c>
    </row>
    <row r="622" spans="2:2">
      <c r="B622" s="66" t="s">
        <v>310</v>
      </c>
    </row>
    <row r="623" spans="2:2">
      <c r="B623" s="66" t="s">
        <v>310</v>
      </c>
    </row>
    <row r="624" spans="2:2">
      <c r="B624" s="66" t="s">
        <v>310</v>
      </c>
    </row>
    <row r="625" spans="2:2">
      <c r="B625" s="66" t="s">
        <v>310</v>
      </c>
    </row>
    <row r="626" spans="2:2">
      <c r="B626" s="66" t="s">
        <v>310</v>
      </c>
    </row>
    <row r="627" spans="2:2">
      <c r="B627" s="66" t="s">
        <v>310</v>
      </c>
    </row>
    <row r="628" spans="2:2">
      <c r="B628" s="66" t="s">
        <v>310</v>
      </c>
    </row>
    <row r="629" spans="2:2">
      <c r="B629" s="66" t="s">
        <v>310</v>
      </c>
    </row>
    <row r="630" spans="2:2">
      <c r="B630" s="66" t="s">
        <v>310</v>
      </c>
    </row>
    <row r="631" spans="2:2">
      <c r="B631" s="66" t="s">
        <v>310</v>
      </c>
    </row>
    <row r="632" spans="2:2">
      <c r="B632" s="66" t="s">
        <v>310</v>
      </c>
    </row>
    <row r="633" spans="2:2">
      <c r="B633" s="66" t="s">
        <v>310</v>
      </c>
    </row>
    <row r="634" spans="2:2">
      <c r="B634" s="66" t="s">
        <v>310</v>
      </c>
    </row>
    <row r="635" spans="2:2">
      <c r="B635" s="66" t="s">
        <v>310</v>
      </c>
    </row>
    <row r="636" spans="2:2">
      <c r="B636" s="66" t="s">
        <v>310</v>
      </c>
    </row>
    <row r="637" spans="2:2">
      <c r="B637" s="66" t="s">
        <v>310</v>
      </c>
    </row>
    <row r="638" spans="2:2">
      <c r="B638" s="66" t="s">
        <v>310</v>
      </c>
    </row>
    <row r="639" spans="2:2">
      <c r="B639" s="66" t="s">
        <v>310</v>
      </c>
    </row>
    <row r="640" spans="2:2">
      <c r="B640" s="66" t="s">
        <v>310</v>
      </c>
    </row>
    <row r="641" spans="2:2">
      <c r="B641" s="66" t="s">
        <v>310</v>
      </c>
    </row>
    <row r="642" spans="2:2">
      <c r="B642" s="66" t="s">
        <v>310</v>
      </c>
    </row>
    <row r="643" spans="2:2">
      <c r="B643" s="66" t="s">
        <v>310</v>
      </c>
    </row>
    <row r="644" spans="2:2">
      <c r="B644" s="66" t="s">
        <v>310</v>
      </c>
    </row>
    <row r="645" spans="2:2">
      <c r="B645" s="66" t="s">
        <v>310</v>
      </c>
    </row>
    <row r="646" spans="2:2">
      <c r="B646" s="66" t="s">
        <v>310</v>
      </c>
    </row>
    <row r="647" spans="2:2">
      <c r="B647" s="66" t="s">
        <v>310</v>
      </c>
    </row>
    <row r="648" spans="2:2">
      <c r="B648" s="66" t="s">
        <v>310</v>
      </c>
    </row>
    <row r="649" spans="2:2">
      <c r="B649" s="66" t="s">
        <v>310</v>
      </c>
    </row>
    <row r="650" spans="2:2">
      <c r="B650" s="66" t="s">
        <v>310</v>
      </c>
    </row>
    <row r="651" spans="2:2">
      <c r="B651" s="66" t="s">
        <v>310</v>
      </c>
    </row>
    <row r="652" spans="2:2">
      <c r="B652" s="66" t="s">
        <v>310</v>
      </c>
    </row>
    <row r="653" spans="2:2">
      <c r="B653" s="66" t="s">
        <v>310</v>
      </c>
    </row>
    <row r="654" spans="2:2">
      <c r="B654" s="66" t="s">
        <v>310</v>
      </c>
    </row>
    <row r="655" spans="2:2">
      <c r="B655" s="66" t="s">
        <v>310</v>
      </c>
    </row>
    <row r="656" spans="2:2">
      <c r="B656" s="66" t="s">
        <v>310</v>
      </c>
    </row>
    <row r="657" spans="2:2">
      <c r="B657" s="66" t="s">
        <v>310</v>
      </c>
    </row>
    <row r="658" spans="2:2">
      <c r="B658" s="66" t="s">
        <v>310</v>
      </c>
    </row>
    <row r="659" spans="2:2">
      <c r="B659" s="66" t="s">
        <v>310</v>
      </c>
    </row>
    <row r="660" spans="2:2">
      <c r="B660" s="66" t="s">
        <v>310</v>
      </c>
    </row>
    <row r="661" spans="2:2">
      <c r="B661" s="66" t="s">
        <v>310</v>
      </c>
    </row>
    <row r="662" spans="2:2">
      <c r="B662" s="66" t="s">
        <v>310</v>
      </c>
    </row>
    <row r="663" spans="2:2">
      <c r="B663" s="66" t="s">
        <v>310</v>
      </c>
    </row>
    <row r="664" spans="2:2">
      <c r="B664" s="66" t="s">
        <v>310</v>
      </c>
    </row>
    <row r="665" spans="2:2">
      <c r="B665" s="66" t="s">
        <v>310</v>
      </c>
    </row>
    <row r="666" spans="2:2">
      <c r="B666" s="66" t="s">
        <v>310</v>
      </c>
    </row>
    <row r="667" spans="2:2">
      <c r="B667" s="66" t="s">
        <v>310</v>
      </c>
    </row>
    <row r="668" spans="2:2">
      <c r="B668" s="66" t="s">
        <v>310</v>
      </c>
    </row>
    <row r="669" spans="2:2">
      <c r="B669" s="66" t="s">
        <v>310</v>
      </c>
    </row>
    <row r="670" spans="2:2">
      <c r="B670" s="66" t="s">
        <v>310</v>
      </c>
    </row>
    <row r="671" spans="2:2">
      <c r="B671" s="66" t="s">
        <v>310</v>
      </c>
    </row>
    <row r="672" spans="2:2">
      <c r="B672" s="66" t="s">
        <v>310</v>
      </c>
    </row>
    <row r="673" spans="2:2">
      <c r="B673" s="66" t="s">
        <v>310</v>
      </c>
    </row>
    <row r="674" spans="2:2">
      <c r="B674" s="66" t="s">
        <v>310</v>
      </c>
    </row>
    <row r="675" spans="2:2">
      <c r="B675" s="66" t="s">
        <v>310</v>
      </c>
    </row>
    <row r="676" spans="2:2">
      <c r="B676" s="66" t="s">
        <v>310</v>
      </c>
    </row>
    <row r="677" spans="2:2">
      <c r="B677" s="66" t="s">
        <v>310</v>
      </c>
    </row>
    <row r="678" spans="2:2">
      <c r="B678" s="66" t="s">
        <v>310</v>
      </c>
    </row>
    <row r="679" spans="2:2">
      <c r="B679" s="66" t="s">
        <v>310</v>
      </c>
    </row>
    <row r="680" spans="2:2">
      <c r="B680" s="66" t="s">
        <v>310</v>
      </c>
    </row>
    <row r="681" spans="2:2">
      <c r="B681" s="66" t="s">
        <v>310</v>
      </c>
    </row>
    <row r="682" spans="2:2">
      <c r="B682" s="66" t="s">
        <v>310</v>
      </c>
    </row>
    <row r="683" spans="2:2">
      <c r="B683" s="66" t="s">
        <v>310</v>
      </c>
    </row>
    <row r="684" spans="2:2">
      <c r="B684" s="66" t="s">
        <v>310</v>
      </c>
    </row>
    <row r="685" spans="2:2">
      <c r="B685" s="66" t="s">
        <v>310</v>
      </c>
    </row>
    <row r="686" spans="2:2">
      <c r="B686" s="66" t="s">
        <v>310</v>
      </c>
    </row>
    <row r="687" spans="2:2">
      <c r="B687" s="66" t="s">
        <v>310</v>
      </c>
    </row>
    <row r="688" spans="2:2">
      <c r="B688" s="66" t="s">
        <v>310</v>
      </c>
    </row>
    <row r="689" spans="2:2">
      <c r="B689" s="66" t="s">
        <v>310</v>
      </c>
    </row>
    <row r="690" spans="2:2">
      <c r="B690" s="66" t="s">
        <v>310</v>
      </c>
    </row>
    <row r="691" spans="2:2">
      <c r="B691" s="66" t="s">
        <v>310</v>
      </c>
    </row>
    <row r="692" spans="2:2">
      <c r="B692" s="66" t="s">
        <v>310</v>
      </c>
    </row>
    <row r="693" spans="2:2">
      <c r="B693" s="66" t="s">
        <v>310</v>
      </c>
    </row>
    <row r="694" spans="2:2">
      <c r="B694" s="66" t="s">
        <v>310</v>
      </c>
    </row>
    <row r="695" spans="2:2">
      <c r="B695" s="66" t="s">
        <v>310</v>
      </c>
    </row>
    <row r="696" spans="2:2">
      <c r="B696" s="66" t="s">
        <v>310</v>
      </c>
    </row>
    <row r="697" spans="2:2">
      <c r="B697" s="66" t="s">
        <v>310</v>
      </c>
    </row>
    <row r="698" spans="2:2">
      <c r="B698" s="66" t="s">
        <v>310</v>
      </c>
    </row>
    <row r="699" spans="2:2">
      <c r="B699" s="66" t="s">
        <v>310</v>
      </c>
    </row>
    <row r="700" spans="2:2">
      <c r="B700" s="66" t="s">
        <v>310</v>
      </c>
    </row>
    <row r="701" spans="2:2">
      <c r="B701" s="66" t="s">
        <v>310</v>
      </c>
    </row>
    <row r="702" spans="2:2">
      <c r="B702" s="66" t="s">
        <v>310</v>
      </c>
    </row>
    <row r="703" spans="2:2">
      <c r="B703" s="66" t="s">
        <v>310</v>
      </c>
    </row>
    <row r="704" spans="2:2">
      <c r="B704" s="66" t="s">
        <v>310</v>
      </c>
    </row>
    <row r="705" spans="2:2">
      <c r="B705" s="66" t="s">
        <v>310</v>
      </c>
    </row>
    <row r="706" spans="2:2">
      <c r="B706" s="66" t="s">
        <v>310</v>
      </c>
    </row>
    <row r="707" spans="2:2">
      <c r="B707" s="66" t="s">
        <v>310</v>
      </c>
    </row>
    <row r="708" spans="2:2">
      <c r="B708" s="66" t="s">
        <v>310</v>
      </c>
    </row>
    <row r="709" spans="2:2">
      <c r="B709" s="66" t="s">
        <v>310</v>
      </c>
    </row>
    <row r="710" spans="2:2">
      <c r="B710" s="66" t="s">
        <v>310</v>
      </c>
    </row>
    <row r="711" spans="2:2">
      <c r="B711" s="66" t="s">
        <v>310</v>
      </c>
    </row>
    <row r="712" spans="2:2">
      <c r="B712" s="66" t="s">
        <v>310</v>
      </c>
    </row>
    <row r="713" spans="2:2">
      <c r="B713" s="66" t="s">
        <v>310</v>
      </c>
    </row>
    <row r="714" spans="2:2">
      <c r="B714" s="66" t="s">
        <v>310</v>
      </c>
    </row>
    <row r="715" spans="2:2">
      <c r="B715" s="66" t="s">
        <v>310</v>
      </c>
    </row>
    <row r="716" spans="2:2">
      <c r="B716" s="66" t="s">
        <v>310</v>
      </c>
    </row>
    <row r="717" spans="2:2">
      <c r="B717" s="66" t="s">
        <v>310</v>
      </c>
    </row>
    <row r="718" spans="2:2">
      <c r="B718" s="66" t="s">
        <v>310</v>
      </c>
    </row>
    <row r="719" spans="2:2">
      <c r="B719" s="66" t="s">
        <v>310</v>
      </c>
    </row>
    <row r="720" spans="2:2">
      <c r="B720" s="66" t="s">
        <v>310</v>
      </c>
    </row>
    <row r="721" spans="2:2">
      <c r="B721" s="66" t="s">
        <v>310</v>
      </c>
    </row>
    <row r="722" spans="2:2">
      <c r="B722" s="66" t="s">
        <v>310</v>
      </c>
    </row>
    <row r="723" spans="2:2">
      <c r="B723" s="66" t="s">
        <v>310</v>
      </c>
    </row>
    <row r="724" spans="2:2">
      <c r="B724" s="66" t="s">
        <v>310</v>
      </c>
    </row>
    <row r="725" spans="2:2">
      <c r="B725" s="66" t="s">
        <v>310</v>
      </c>
    </row>
    <row r="726" spans="2:2">
      <c r="B726" s="66" t="s">
        <v>310</v>
      </c>
    </row>
    <row r="727" spans="2:2">
      <c r="B727" s="66" t="s">
        <v>310</v>
      </c>
    </row>
    <row r="728" spans="2:2">
      <c r="B728" s="66" t="s">
        <v>310</v>
      </c>
    </row>
    <row r="729" spans="2:2">
      <c r="B729" s="66" t="s">
        <v>310</v>
      </c>
    </row>
    <row r="730" spans="2:2">
      <c r="B730" s="66" t="s">
        <v>310</v>
      </c>
    </row>
    <row r="731" spans="2:2">
      <c r="B731" s="66" t="s">
        <v>310</v>
      </c>
    </row>
    <row r="732" spans="2:2">
      <c r="B732" s="66" t="s">
        <v>310</v>
      </c>
    </row>
    <row r="733" spans="2:2">
      <c r="B733" s="66" t="s">
        <v>310</v>
      </c>
    </row>
    <row r="734" spans="2:2">
      <c r="B734" s="66" t="s">
        <v>310</v>
      </c>
    </row>
    <row r="735" spans="2:2">
      <c r="B735" s="66" t="s">
        <v>310</v>
      </c>
    </row>
    <row r="736" spans="2:2">
      <c r="B736" s="66" t="s">
        <v>310</v>
      </c>
    </row>
    <row r="737" spans="2:2">
      <c r="B737" s="66" t="s">
        <v>310</v>
      </c>
    </row>
    <row r="738" spans="2:2">
      <c r="B738" s="66" t="s">
        <v>310</v>
      </c>
    </row>
    <row r="739" spans="2:2">
      <c r="B739" s="66" t="s">
        <v>310</v>
      </c>
    </row>
    <row r="740" spans="2:2">
      <c r="B740" s="66" t="s">
        <v>310</v>
      </c>
    </row>
    <row r="741" spans="2:2">
      <c r="B741" s="66" t="s">
        <v>310</v>
      </c>
    </row>
    <row r="742" spans="2:2">
      <c r="B742" s="66" t="s">
        <v>310</v>
      </c>
    </row>
    <row r="743" spans="2:2">
      <c r="B743" s="66" t="s">
        <v>310</v>
      </c>
    </row>
    <row r="744" spans="2:2">
      <c r="B744" s="66" t="s">
        <v>310</v>
      </c>
    </row>
    <row r="745" spans="2:2">
      <c r="B745" s="66" t="s">
        <v>310</v>
      </c>
    </row>
    <row r="746" spans="2:2">
      <c r="B746" s="66" t="s">
        <v>310</v>
      </c>
    </row>
    <row r="747" spans="2:2">
      <c r="B747" s="66" t="s">
        <v>310</v>
      </c>
    </row>
    <row r="748" spans="2:2">
      <c r="B748" s="66" t="s">
        <v>310</v>
      </c>
    </row>
    <row r="749" spans="2:2">
      <c r="B749" s="66" t="s">
        <v>310</v>
      </c>
    </row>
    <row r="750" spans="2:2">
      <c r="B750" s="66" t="s">
        <v>310</v>
      </c>
    </row>
    <row r="751" spans="2:2">
      <c r="B751" s="66" t="s">
        <v>310</v>
      </c>
    </row>
    <row r="752" spans="2:2">
      <c r="B752" s="66" t="s">
        <v>310</v>
      </c>
    </row>
    <row r="753" spans="2:2">
      <c r="B753" s="66" t="s">
        <v>310</v>
      </c>
    </row>
    <row r="754" spans="2:2">
      <c r="B754" s="66" t="s">
        <v>310</v>
      </c>
    </row>
    <row r="755" spans="2:2">
      <c r="B755" s="66" t="s">
        <v>310</v>
      </c>
    </row>
    <row r="756" spans="2:2">
      <c r="B756" s="66" t="s">
        <v>310</v>
      </c>
    </row>
    <row r="757" spans="2:2">
      <c r="B757" s="66" t="s">
        <v>310</v>
      </c>
    </row>
    <row r="758" spans="2:2">
      <c r="B758" s="66" t="s">
        <v>310</v>
      </c>
    </row>
    <row r="759" spans="2:2">
      <c r="B759" s="66" t="s">
        <v>310</v>
      </c>
    </row>
    <row r="760" spans="2:2">
      <c r="B760" s="66" t="s">
        <v>310</v>
      </c>
    </row>
    <row r="761" spans="2:2">
      <c r="B761" s="66" t="s">
        <v>310</v>
      </c>
    </row>
    <row r="762" spans="2:2">
      <c r="B762" s="66" t="s">
        <v>310</v>
      </c>
    </row>
    <row r="763" spans="2:2">
      <c r="B763" s="66" t="s">
        <v>310</v>
      </c>
    </row>
    <row r="764" spans="2:2">
      <c r="B764" s="66" t="s">
        <v>310</v>
      </c>
    </row>
    <row r="765" spans="2:2">
      <c r="B765" s="66" t="s">
        <v>310</v>
      </c>
    </row>
    <row r="766" spans="2:2">
      <c r="B766" s="66" t="s">
        <v>310</v>
      </c>
    </row>
    <row r="767" spans="2:2">
      <c r="B767" s="66" t="s">
        <v>310</v>
      </c>
    </row>
    <row r="768" spans="2:2">
      <c r="B768" s="66" t="s">
        <v>310</v>
      </c>
    </row>
    <row r="769" spans="2:2">
      <c r="B769" s="66" t="s">
        <v>310</v>
      </c>
    </row>
    <row r="770" spans="2:2">
      <c r="B770" s="66" t="s">
        <v>310</v>
      </c>
    </row>
    <row r="771" spans="2:2">
      <c r="B771" s="66" t="s">
        <v>310</v>
      </c>
    </row>
    <row r="772" spans="2:2">
      <c r="B772" s="66" t="s">
        <v>310</v>
      </c>
    </row>
    <row r="773" spans="2:2">
      <c r="B773" s="66" t="s">
        <v>310</v>
      </c>
    </row>
    <row r="774" spans="2:2">
      <c r="B774" s="66" t="s">
        <v>310</v>
      </c>
    </row>
    <row r="775" spans="2:2">
      <c r="B775" s="66" t="s">
        <v>310</v>
      </c>
    </row>
    <row r="776" spans="2:2">
      <c r="B776" s="66" t="s">
        <v>310</v>
      </c>
    </row>
    <row r="777" spans="2:2">
      <c r="B777" s="66" t="s">
        <v>310</v>
      </c>
    </row>
    <row r="778" spans="2:2">
      <c r="B778" s="66" t="s">
        <v>310</v>
      </c>
    </row>
    <row r="779" spans="2:2">
      <c r="B779" s="66" t="s">
        <v>310</v>
      </c>
    </row>
    <row r="780" spans="2:2">
      <c r="B780" s="66" t="s">
        <v>310</v>
      </c>
    </row>
    <row r="781" spans="2:2">
      <c r="B781" s="66" t="s">
        <v>310</v>
      </c>
    </row>
    <row r="782" spans="2:2">
      <c r="B782" s="66" t="s">
        <v>310</v>
      </c>
    </row>
    <row r="783" spans="2:2">
      <c r="B783" s="66" t="s">
        <v>310</v>
      </c>
    </row>
    <row r="784" spans="2:2">
      <c r="B784" s="66" t="s">
        <v>310</v>
      </c>
    </row>
    <row r="785" spans="2:2">
      <c r="B785" s="66" t="s">
        <v>310</v>
      </c>
    </row>
    <row r="786" spans="2:2">
      <c r="B786" s="66" t="s">
        <v>310</v>
      </c>
    </row>
    <row r="787" spans="2:2">
      <c r="B787" s="66" t="s">
        <v>310</v>
      </c>
    </row>
    <row r="788" spans="2:2">
      <c r="B788" s="66" t="s">
        <v>310</v>
      </c>
    </row>
    <row r="789" spans="2:2">
      <c r="B789" s="66" t="s">
        <v>310</v>
      </c>
    </row>
    <row r="790" spans="2:2">
      <c r="B790" s="66" t="s">
        <v>310</v>
      </c>
    </row>
    <row r="791" spans="2:2">
      <c r="B791" s="66" t="s">
        <v>310</v>
      </c>
    </row>
    <row r="792" spans="2:2">
      <c r="B792" s="66" t="s">
        <v>310</v>
      </c>
    </row>
    <row r="793" spans="2:2">
      <c r="B793" s="66" t="s">
        <v>310</v>
      </c>
    </row>
    <row r="794" spans="2:2">
      <c r="B794" s="66" t="s">
        <v>310</v>
      </c>
    </row>
    <row r="795" spans="2:2">
      <c r="B795" s="66" t="s">
        <v>310</v>
      </c>
    </row>
    <row r="796" spans="2:2">
      <c r="B796" s="66" t="s">
        <v>310</v>
      </c>
    </row>
    <row r="797" spans="2:2">
      <c r="B797" s="66" t="s">
        <v>310</v>
      </c>
    </row>
    <row r="798" spans="2:2">
      <c r="B798" s="66" t="s">
        <v>310</v>
      </c>
    </row>
    <row r="799" spans="2:2">
      <c r="B799" s="66" t="s">
        <v>310</v>
      </c>
    </row>
    <row r="800" spans="2:2">
      <c r="B800" s="66" t="s">
        <v>310</v>
      </c>
    </row>
    <row r="801" spans="2:2">
      <c r="B801" s="66" t="s">
        <v>310</v>
      </c>
    </row>
    <row r="802" spans="2:2">
      <c r="B802" s="66" t="s">
        <v>310</v>
      </c>
    </row>
    <row r="803" spans="2:2">
      <c r="B803" s="66" t="s">
        <v>310</v>
      </c>
    </row>
    <row r="804" spans="2:2">
      <c r="B804" s="66" t="s">
        <v>310</v>
      </c>
    </row>
    <row r="805" spans="2:2">
      <c r="B805" s="66" t="s">
        <v>310</v>
      </c>
    </row>
    <row r="806" spans="2:2">
      <c r="B806" s="66" t="s">
        <v>310</v>
      </c>
    </row>
    <row r="807" spans="2:2">
      <c r="B807" s="66" t="s">
        <v>310</v>
      </c>
    </row>
    <row r="808" spans="2:2">
      <c r="B808" s="66" t="s">
        <v>310</v>
      </c>
    </row>
    <row r="809" spans="2:2">
      <c r="B809" s="66" t="s">
        <v>310</v>
      </c>
    </row>
    <row r="810" spans="2:2">
      <c r="B810" s="66" t="s">
        <v>310</v>
      </c>
    </row>
    <row r="811" spans="2:2">
      <c r="B811" s="66" t="s">
        <v>310</v>
      </c>
    </row>
    <row r="812" spans="2:2">
      <c r="B812" s="66" t="s">
        <v>310</v>
      </c>
    </row>
    <row r="813" spans="2:2">
      <c r="B813" s="66" t="s">
        <v>310</v>
      </c>
    </row>
    <row r="814" spans="2:2">
      <c r="B814" s="66" t="s">
        <v>310</v>
      </c>
    </row>
    <row r="815" spans="2:2">
      <c r="B815" s="66" t="s">
        <v>310</v>
      </c>
    </row>
    <row r="816" spans="2:2">
      <c r="B816" s="66" t="s">
        <v>310</v>
      </c>
    </row>
    <row r="817" spans="2:2">
      <c r="B817" s="66" t="s">
        <v>310</v>
      </c>
    </row>
    <row r="818" spans="2:2">
      <c r="B818" s="66" t="s">
        <v>310</v>
      </c>
    </row>
    <row r="819" spans="2:2">
      <c r="B819" s="66" t="s">
        <v>310</v>
      </c>
    </row>
    <row r="820" spans="2:2">
      <c r="B820" s="66" t="s">
        <v>310</v>
      </c>
    </row>
    <row r="821" spans="2:2">
      <c r="B821" s="66" t="s">
        <v>310</v>
      </c>
    </row>
    <row r="822" spans="2:2">
      <c r="B822" s="66" t="s">
        <v>310</v>
      </c>
    </row>
    <row r="823" spans="2:2">
      <c r="B823" s="66" t="s">
        <v>310</v>
      </c>
    </row>
    <row r="824" spans="2:2">
      <c r="B824" s="66" t="s">
        <v>310</v>
      </c>
    </row>
    <row r="825" spans="2:2">
      <c r="B825" s="66" t="s">
        <v>310</v>
      </c>
    </row>
    <row r="826" spans="2:2">
      <c r="B826" s="66" t="s">
        <v>310</v>
      </c>
    </row>
    <row r="827" spans="2:2">
      <c r="B827" s="66" t="s">
        <v>310</v>
      </c>
    </row>
    <row r="828" spans="2:2">
      <c r="B828" s="66" t="s">
        <v>310</v>
      </c>
    </row>
    <row r="829" spans="2:2">
      <c r="B829" s="66" t="s">
        <v>310</v>
      </c>
    </row>
    <row r="830" spans="2:2">
      <c r="B830" s="66" t="s">
        <v>310</v>
      </c>
    </row>
    <row r="831" spans="2:2">
      <c r="B831" s="66" t="s">
        <v>310</v>
      </c>
    </row>
    <row r="832" spans="2:2">
      <c r="B832" s="66" t="s">
        <v>310</v>
      </c>
    </row>
    <row r="833" spans="2:2">
      <c r="B833" s="66" t="s">
        <v>310</v>
      </c>
    </row>
    <row r="834" spans="2:2">
      <c r="B834" s="66" t="s">
        <v>310</v>
      </c>
    </row>
    <row r="835" spans="2:2">
      <c r="B835" s="66" t="s">
        <v>310</v>
      </c>
    </row>
    <row r="836" spans="2:2">
      <c r="B836" s="66" t="s">
        <v>310</v>
      </c>
    </row>
    <row r="837" spans="2:2">
      <c r="B837" s="66" t="s">
        <v>310</v>
      </c>
    </row>
    <row r="838" spans="2:2">
      <c r="B838" s="66" t="s">
        <v>310</v>
      </c>
    </row>
    <row r="839" spans="2:2">
      <c r="B839" s="66" t="s">
        <v>310</v>
      </c>
    </row>
    <row r="840" spans="2:2">
      <c r="B840" s="66" t="s">
        <v>310</v>
      </c>
    </row>
    <row r="841" spans="2:2">
      <c r="B841" s="66" t="s">
        <v>310</v>
      </c>
    </row>
    <row r="842" spans="2:2">
      <c r="B842" s="66" t="s">
        <v>310</v>
      </c>
    </row>
    <row r="843" spans="2:2">
      <c r="B843" s="66" t="s">
        <v>310</v>
      </c>
    </row>
    <row r="844" spans="2:2">
      <c r="B844" s="66" t="s">
        <v>310</v>
      </c>
    </row>
    <row r="845" spans="2:2">
      <c r="B845" s="66" t="s">
        <v>310</v>
      </c>
    </row>
    <row r="846" spans="2:2">
      <c r="B846" s="66" t="s">
        <v>310</v>
      </c>
    </row>
    <row r="847" spans="2:2">
      <c r="B847" s="66" t="s">
        <v>310</v>
      </c>
    </row>
    <row r="848" spans="2:2">
      <c r="B848" s="66" t="s">
        <v>310</v>
      </c>
    </row>
    <row r="849" spans="2:2">
      <c r="B849" s="66" t="s">
        <v>310</v>
      </c>
    </row>
    <row r="850" spans="2:2">
      <c r="B850" s="66" t="s">
        <v>310</v>
      </c>
    </row>
    <row r="851" spans="2:2">
      <c r="B851" s="66" t="s">
        <v>310</v>
      </c>
    </row>
    <row r="852" spans="2:2">
      <c r="B852" s="66" t="s">
        <v>310</v>
      </c>
    </row>
    <row r="853" spans="2:2">
      <c r="B853" s="66" t="s">
        <v>310</v>
      </c>
    </row>
    <row r="854" spans="2:2">
      <c r="B854" s="66" t="s">
        <v>310</v>
      </c>
    </row>
    <row r="855" spans="2:2">
      <c r="B855" s="66" t="s">
        <v>310</v>
      </c>
    </row>
    <row r="856" spans="2:2">
      <c r="B856" s="66" t="s">
        <v>310</v>
      </c>
    </row>
    <row r="857" spans="2:2">
      <c r="B857" s="66" t="s">
        <v>310</v>
      </c>
    </row>
    <row r="858" spans="2:2">
      <c r="B858" s="66" t="s">
        <v>310</v>
      </c>
    </row>
    <row r="859" spans="2:2">
      <c r="B859" s="66" t="s">
        <v>310</v>
      </c>
    </row>
    <row r="860" spans="2:2">
      <c r="B860" s="66" t="s">
        <v>310</v>
      </c>
    </row>
    <row r="861" spans="2:2">
      <c r="B861" s="66" t="s">
        <v>310</v>
      </c>
    </row>
    <row r="862" spans="2:2">
      <c r="B862" s="66" t="s">
        <v>310</v>
      </c>
    </row>
    <row r="863" spans="2:2">
      <c r="B863" s="66" t="s">
        <v>310</v>
      </c>
    </row>
    <row r="864" spans="2:2">
      <c r="B864" s="66" t="s">
        <v>310</v>
      </c>
    </row>
    <row r="865" spans="2:2">
      <c r="B865" s="66" t="s">
        <v>310</v>
      </c>
    </row>
    <row r="866" spans="2:2">
      <c r="B866" s="66" t="s">
        <v>310</v>
      </c>
    </row>
    <row r="867" spans="2:2">
      <c r="B867" s="66" t="s">
        <v>310</v>
      </c>
    </row>
    <row r="868" spans="2:2">
      <c r="B868" s="66" t="s">
        <v>310</v>
      </c>
    </row>
    <row r="869" spans="2:2">
      <c r="B869" s="66" t="s">
        <v>310</v>
      </c>
    </row>
    <row r="870" spans="2:2">
      <c r="B870" s="66" t="s">
        <v>310</v>
      </c>
    </row>
    <row r="871" spans="2:2">
      <c r="B871" s="66" t="s">
        <v>310</v>
      </c>
    </row>
    <row r="872" spans="2:2">
      <c r="B872" s="66" t="s">
        <v>310</v>
      </c>
    </row>
    <row r="873" spans="2:2">
      <c r="B873" s="66" t="s">
        <v>310</v>
      </c>
    </row>
    <row r="874" spans="2:2">
      <c r="B874" s="66" t="s">
        <v>310</v>
      </c>
    </row>
    <row r="875" spans="2:2">
      <c r="B875" s="66" t="s">
        <v>310</v>
      </c>
    </row>
    <row r="876" spans="2:2">
      <c r="B876" s="66" t="s">
        <v>310</v>
      </c>
    </row>
    <row r="877" spans="2:2">
      <c r="B877" s="66" t="s">
        <v>310</v>
      </c>
    </row>
    <row r="878" spans="2:2">
      <c r="B878" s="66" t="s">
        <v>310</v>
      </c>
    </row>
    <row r="879" spans="2:2">
      <c r="B879" s="66" t="s">
        <v>310</v>
      </c>
    </row>
    <row r="880" spans="2:2">
      <c r="B880" s="66" t="s">
        <v>310</v>
      </c>
    </row>
    <row r="881" spans="2:2">
      <c r="B881" s="66" t="s">
        <v>310</v>
      </c>
    </row>
    <row r="882" spans="2:2">
      <c r="B882" s="66" t="s">
        <v>310</v>
      </c>
    </row>
    <row r="883" spans="2:2">
      <c r="B883" s="66" t="s">
        <v>310</v>
      </c>
    </row>
    <row r="884" spans="2:2">
      <c r="B884" s="66" t="s">
        <v>310</v>
      </c>
    </row>
    <row r="885" spans="2:2">
      <c r="B885" s="66" t="s">
        <v>310</v>
      </c>
    </row>
    <row r="886" spans="2:2">
      <c r="B886" s="66" t="s">
        <v>310</v>
      </c>
    </row>
    <row r="887" spans="2:2">
      <c r="B887" s="66" t="s">
        <v>310</v>
      </c>
    </row>
    <row r="888" spans="2:2">
      <c r="B888" s="66" t="s">
        <v>310</v>
      </c>
    </row>
    <row r="889" spans="2:2">
      <c r="B889" s="66" t="s">
        <v>310</v>
      </c>
    </row>
    <row r="890" spans="2:2">
      <c r="B890" s="66" t="s">
        <v>310</v>
      </c>
    </row>
    <row r="891" spans="2:2">
      <c r="B891" s="66" t="s">
        <v>310</v>
      </c>
    </row>
    <row r="892" spans="2:2">
      <c r="B892" s="66" t="s">
        <v>310</v>
      </c>
    </row>
    <row r="893" spans="2:2">
      <c r="B893" s="66" t="s">
        <v>310</v>
      </c>
    </row>
    <row r="894" spans="2:2">
      <c r="B894" s="66" t="s">
        <v>310</v>
      </c>
    </row>
    <row r="895" spans="2:2">
      <c r="B895" s="66" t="s">
        <v>310</v>
      </c>
    </row>
    <row r="896" spans="2:2">
      <c r="B896" s="66" t="s">
        <v>310</v>
      </c>
    </row>
    <row r="897" spans="2:2">
      <c r="B897" s="66" t="s">
        <v>310</v>
      </c>
    </row>
    <row r="898" spans="2:2">
      <c r="B898" s="66" t="s">
        <v>310</v>
      </c>
    </row>
    <row r="899" spans="2:2">
      <c r="B899" s="66" t="s">
        <v>310</v>
      </c>
    </row>
    <row r="900" spans="2:2">
      <c r="B900" s="66" t="s">
        <v>310</v>
      </c>
    </row>
    <row r="901" spans="2:2">
      <c r="B901" s="66" t="s">
        <v>310</v>
      </c>
    </row>
    <row r="902" spans="2:2">
      <c r="B902" s="66" t="s">
        <v>310</v>
      </c>
    </row>
    <row r="903" spans="2:2">
      <c r="B903" s="66" t="s">
        <v>310</v>
      </c>
    </row>
    <row r="904" spans="2:2">
      <c r="B904" s="66" t="s">
        <v>310</v>
      </c>
    </row>
    <row r="905" spans="2:2">
      <c r="B905" s="66" t="s">
        <v>310</v>
      </c>
    </row>
    <row r="906" spans="2:2">
      <c r="B906" s="66" t="s">
        <v>310</v>
      </c>
    </row>
    <row r="907" spans="2:2">
      <c r="B907" s="66" t="s">
        <v>310</v>
      </c>
    </row>
    <row r="908" spans="2:2">
      <c r="B908" s="66" t="s">
        <v>310</v>
      </c>
    </row>
    <row r="909" spans="2:2">
      <c r="B909" s="66" t="s">
        <v>310</v>
      </c>
    </row>
    <row r="910" spans="2:2">
      <c r="B910" s="66" t="s">
        <v>310</v>
      </c>
    </row>
    <row r="911" spans="2:2">
      <c r="B911" s="66" t="s">
        <v>310</v>
      </c>
    </row>
    <row r="912" spans="2:2">
      <c r="B912" s="66" t="s">
        <v>310</v>
      </c>
    </row>
    <row r="913" spans="2:2">
      <c r="B913" s="66" t="s">
        <v>310</v>
      </c>
    </row>
    <row r="914" spans="2:2">
      <c r="B914" s="66" t="s">
        <v>310</v>
      </c>
    </row>
    <row r="915" spans="2:2">
      <c r="B915" s="66" t="s">
        <v>310</v>
      </c>
    </row>
    <row r="916" spans="2:2">
      <c r="B916" s="66" t="s">
        <v>310</v>
      </c>
    </row>
    <row r="917" spans="2:2">
      <c r="B917" s="66" t="s">
        <v>310</v>
      </c>
    </row>
    <row r="918" spans="2:2">
      <c r="B918" s="66" t="s">
        <v>310</v>
      </c>
    </row>
    <row r="919" spans="2:2">
      <c r="B919" s="66" t="s">
        <v>310</v>
      </c>
    </row>
    <row r="920" spans="2:2">
      <c r="B920" s="66" t="s">
        <v>310</v>
      </c>
    </row>
    <row r="921" spans="2:2">
      <c r="B921" s="66" t="s">
        <v>310</v>
      </c>
    </row>
    <row r="922" spans="2:2">
      <c r="B922" s="66" t="s">
        <v>310</v>
      </c>
    </row>
    <row r="923" spans="2:2">
      <c r="B923" s="66" t="s">
        <v>310</v>
      </c>
    </row>
    <row r="924" spans="2:2">
      <c r="B924" s="66" t="s">
        <v>310</v>
      </c>
    </row>
    <row r="925" spans="2:2">
      <c r="B925" s="66" t="s">
        <v>310</v>
      </c>
    </row>
    <row r="926" spans="2:2">
      <c r="B926" s="66" t="s">
        <v>310</v>
      </c>
    </row>
    <row r="927" spans="2:2">
      <c r="B927" s="66" t="s">
        <v>310</v>
      </c>
    </row>
    <row r="928" spans="2:2">
      <c r="B928" s="66" t="s">
        <v>310</v>
      </c>
    </row>
    <row r="929" spans="2:2">
      <c r="B929" s="66" t="s">
        <v>310</v>
      </c>
    </row>
    <row r="930" spans="2:2">
      <c r="B930" s="66" t="s">
        <v>310</v>
      </c>
    </row>
    <row r="931" spans="2:2">
      <c r="B931" s="66" t="s">
        <v>310</v>
      </c>
    </row>
    <row r="932" spans="2:2">
      <c r="B932" s="66" t="s">
        <v>310</v>
      </c>
    </row>
    <row r="933" spans="2:2">
      <c r="B933" s="66" t="s">
        <v>310</v>
      </c>
    </row>
    <row r="934" spans="2:2">
      <c r="B934" s="66" t="s">
        <v>310</v>
      </c>
    </row>
    <row r="935" spans="2:2">
      <c r="B935" s="66" t="s">
        <v>310</v>
      </c>
    </row>
    <row r="936" spans="2:2">
      <c r="B936" s="66" t="s">
        <v>310</v>
      </c>
    </row>
    <row r="937" spans="2:2">
      <c r="B937" s="66" t="s">
        <v>310</v>
      </c>
    </row>
    <row r="938" spans="2:2">
      <c r="B938" s="66" t="s">
        <v>310</v>
      </c>
    </row>
    <row r="939" spans="2:2">
      <c r="B939" s="66" t="s">
        <v>310</v>
      </c>
    </row>
    <row r="940" spans="2:2">
      <c r="B940" s="66" t="s">
        <v>310</v>
      </c>
    </row>
    <row r="941" spans="2:2">
      <c r="B941" s="66" t="s">
        <v>310</v>
      </c>
    </row>
    <row r="942" spans="2:2">
      <c r="B942" s="66" t="s">
        <v>310</v>
      </c>
    </row>
    <row r="943" spans="2:2">
      <c r="B943" s="66" t="s">
        <v>310</v>
      </c>
    </row>
    <row r="944" spans="2:2">
      <c r="B944" s="66" t="s">
        <v>310</v>
      </c>
    </row>
    <row r="945" spans="2:2">
      <c r="B945" s="66" t="s">
        <v>310</v>
      </c>
    </row>
    <row r="946" spans="2:2">
      <c r="B946" s="66" t="s">
        <v>310</v>
      </c>
    </row>
    <row r="947" spans="2:2">
      <c r="B947" s="66" t="s">
        <v>310</v>
      </c>
    </row>
    <row r="948" spans="2:2">
      <c r="B948" s="66" t="s">
        <v>310</v>
      </c>
    </row>
    <row r="949" spans="2:2">
      <c r="B949" s="66" t="s">
        <v>310</v>
      </c>
    </row>
    <row r="950" spans="2:2">
      <c r="B950" s="66" t="s">
        <v>310</v>
      </c>
    </row>
    <row r="951" spans="2:2">
      <c r="B951" s="66" t="s">
        <v>310</v>
      </c>
    </row>
    <row r="952" spans="2:2">
      <c r="B952" s="66" t="s">
        <v>310</v>
      </c>
    </row>
    <row r="953" spans="2:2">
      <c r="B953" s="66" t="s">
        <v>310</v>
      </c>
    </row>
    <row r="954" spans="2:2">
      <c r="B954" s="66" t="s">
        <v>310</v>
      </c>
    </row>
    <row r="955" spans="2:2">
      <c r="B955" s="66" t="s">
        <v>310</v>
      </c>
    </row>
    <row r="956" spans="2:2">
      <c r="B956" s="66" t="s">
        <v>310</v>
      </c>
    </row>
    <row r="957" spans="2:2">
      <c r="B957" s="66" t="s">
        <v>310</v>
      </c>
    </row>
    <row r="958" spans="2:2">
      <c r="B958" s="66" t="s">
        <v>310</v>
      </c>
    </row>
    <row r="959" spans="2:2">
      <c r="B959" s="66" t="s">
        <v>310</v>
      </c>
    </row>
    <row r="960" spans="2:2">
      <c r="B960" s="66" t="s">
        <v>310</v>
      </c>
    </row>
    <row r="961" spans="2:2">
      <c r="B961" s="66" t="s">
        <v>310</v>
      </c>
    </row>
    <row r="962" spans="2:2">
      <c r="B962" s="66" t="s">
        <v>310</v>
      </c>
    </row>
    <row r="963" spans="2:2">
      <c r="B963" s="66" t="s">
        <v>310</v>
      </c>
    </row>
    <row r="964" spans="2:2">
      <c r="B964" s="66" t="s">
        <v>310</v>
      </c>
    </row>
    <row r="965" spans="2:2">
      <c r="B965" s="66" t="s">
        <v>310</v>
      </c>
    </row>
    <row r="966" spans="2:2">
      <c r="B966" s="66" t="s">
        <v>310</v>
      </c>
    </row>
    <row r="967" spans="2:2">
      <c r="B967" s="66" t="s">
        <v>310</v>
      </c>
    </row>
    <row r="968" spans="2:2">
      <c r="B968" s="66" t="s">
        <v>310</v>
      </c>
    </row>
    <row r="969" spans="2:2">
      <c r="B969" s="66" t="s">
        <v>310</v>
      </c>
    </row>
    <row r="970" spans="2:2">
      <c r="B970" s="66" t="s">
        <v>310</v>
      </c>
    </row>
    <row r="971" spans="2:2">
      <c r="B971" s="66" t="s">
        <v>310</v>
      </c>
    </row>
    <row r="972" spans="2:2">
      <c r="B972" s="66" t="s">
        <v>310</v>
      </c>
    </row>
    <row r="973" spans="2:2">
      <c r="B973" s="66" t="s">
        <v>310</v>
      </c>
    </row>
    <row r="974" spans="2:2">
      <c r="B974" s="66" t="s">
        <v>310</v>
      </c>
    </row>
    <row r="975" spans="2:2">
      <c r="B975" s="66" t="s">
        <v>310</v>
      </c>
    </row>
    <row r="976" spans="2:2">
      <c r="B976" s="66" t="s">
        <v>310</v>
      </c>
    </row>
    <row r="977" spans="2:2">
      <c r="B977" s="66" t="s">
        <v>310</v>
      </c>
    </row>
    <row r="978" spans="2:2">
      <c r="B978" s="66" t="s">
        <v>310</v>
      </c>
    </row>
    <row r="979" spans="2:2">
      <c r="B979" s="66" t="s">
        <v>310</v>
      </c>
    </row>
    <row r="980" spans="2:2">
      <c r="B980" s="66" t="s">
        <v>310</v>
      </c>
    </row>
    <row r="981" spans="2:2">
      <c r="B981" s="66" t="s">
        <v>310</v>
      </c>
    </row>
    <row r="982" spans="2:2">
      <c r="B982" s="66" t="s">
        <v>310</v>
      </c>
    </row>
    <row r="983" spans="2:2">
      <c r="B983" s="66" t="s">
        <v>310</v>
      </c>
    </row>
    <row r="984" spans="2:2">
      <c r="B984" s="66" t="s">
        <v>310</v>
      </c>
    </row>
    <row r="985" spans="2:2">
      <c r="B985" s="66" t="s">
        <v>310</v>
      </c>
    </row>
    <row r="986" spans="2:2">
      <c r="B986" s="66" t="s">
        <v>310</v>
      </c>
    </row>
    <row r="987" spans="2:2">
      <c r="B987" s="66" t="s">
        <v>310</v>
      </c>
    </row>
    <row r="988" spans="2:2">
      <c r="B988" s="66" t="s">
        <v>310</v>
      </c>
    </row>
    <row r="989" spans="2:2">
      <c r="B989" s="66" t="s">
        <v>310</v>
      </c>
    </row>
    <row r="990" spans="2:2">
      <c r="B990" s="66" t="s">
        <v>310</v>
      </c>
    </row>
    <row r="991" spans="2:2">
      <c r="B991" s="66" t="s">
        <v>310</v>
      </c>
    </row>
    <row r="992" spans="2:2">
      <c r="B992" s="66" t="s">
        <v>310</v>
      </c>
    </row>
    <row r="993" spans="2:2">
      <c r="B993" s="66" t="s">
        <v>310</v>
      </c>
    </row>
    <row r="994" spans="2:2">
      <c r="B994" s="66" t="s">
        <v>310</v>
      </c>
    </row>
    <row r="995" spans="2:2">
      <c r="B995" s="66" t="s">
        <v>310</v>
      </c>
    </row>
    <row r="996" spans="2:2">
      <c r="B996" s="66" t="s">
        <v>310</v>
      </c>
    </row>
    <row r="997" spans="2:2">
      <c r="B997" s="66" t="s">
        <v>310</v>
      </c>
    </row>
    <row r="998" spans="2:2">
      <c r="B998" s="66" t="s">
        <v>310</v>
      </c>
    </row>
    <row r="999" spans="2:2">
      <c r="B999" s="66" t="s">
        <v>310</v>
      </c>
    </row>
    <row r="1000" spans="2:2">
      <c r="B1000" s="66" t="s">
        <v>310</v>
      </c>
    </row>
    <row r="1001" spans="2:2">
      <c r="B1001" s="66" t="s">
        <v>310</v>
      </c>
    </row>
    <row r="1002" spans="2:2">
      <c r="B1002" s="66" t="s">
        <v>310</v>
      </c>
    </row>
    <row r="1003" spans="2:2">
      <c r="B1003" s="66" t="s">
        <v>310</v>
      </c>
    </row>
    <row r="1004" spans="2:2">
      <c r="B1004" s="66" t="s">
        <v>310</v>
      </c>
    </row>
    <row r="1005" spans="2:2">
      <c r="B1005" s="66" t="s">
        <v>310</v>
      </c>
    </row>
    <row r="1006" spans="2:2">
      <c r="B1006" s="66" t="s">
        <v>310</v>
      </c>
    </row>
    <row r="1007" spans="2:2">
      <c r="B1007" s="66" t="s">
        <v>310</v>
      </c>
    </row>
    <row r="1008" spans="2:2">
      <c r="B1008" s="66" t="s">
        <v>310</v>
      </c>
    </row>
    <row r="1009" spans="2:2">
      <c r="B1009" s="66" t="s">
        <v>310</v>
      </c>
    </row>
    <row r="1010" spans="2:2">
      <c r="B1010" s="66" t="s">
        <v>310</v>
      </c>
    </row>
    <row r="1011" spans="2:2">
      <c r="B1011" s="66" t="s">
        <v>310</v>
      </c>
    </row>
    <row r="1012" spans="2:2">
      <c r="B1012" s="66" t="s">
        <v>310</v>
      </c>
    </row>
    <row r="1013" spans="2:2">
      <c r="B1013" s="66" t="s">
        <v>310</v>
      </c>
    </row>
    <row r="1014" spans="2:2">
      <c r="B1014" s="66" t="s">
        <v>310</v>
      </c>
    </row>
    <row r="1015" spans="2:2">
      <c r="B1015" s="66" t="s">
        <v>310</v>
      </c>
    </row>
    <row r="1016" spans="2:2">
      <c r="B1016" s="66" t="s">
        <v>310</v>
      </c>
    </row>
    <row r="1017" spans="2:2">
      <c r="B1017" s="66" t="s">
        <v>310</v>
      </c>
    </row>
    <row r="1018" spans="2:2">
      <c r="B1018" s="66" t="s">
        <v>310</v>
      </c>
    </row>
    <row r="1019" spans="2:2">
      <c r="B1019" s="66" t="s">
        <v>310</v>
      </c>
    </row>
    <row r="1020" spans="2:2">
      <c r="B1020" s="66" t="s">
        <v>310</v>
      </c>
    </row>
    <row r="1021" spans="2:2">
      <c r="B1021" s="66" t="s">
        <v>310</v>
      </c>
    </row>
    <row r="1022" spans="2:2">
      <c r="B1022" s="66" t="s">
        <v>310</v>
      </c>
    </row>
    <row r="1023" spans="2:2">
      <c r="B1023" s="66" t="s">
        <v>310</v>
      </c>
    </row>
    <row r="1024" spans="2:2">
      <c r="B1024" s="66" t="s">
        <v>310</v>
      </c>
    </row>
    <row r="1025" spans="2:2">
      <c r="B1025" s="66" t="s">
        <v>310</v>
      </c>
    </row>
    <row r="1026" spans="2:2">
      <c r="B1026" s="66" t="s">
        <v>310</v>
      </c>
    </row>
    <row r="1027" spans="2:2">
      <c r="B1027" s="66" t="s">
        <v>310</v>
      </c>
    </row>
    <row r="1028" spans="2:2">
      <c r="B1028" s="66" t="s">
        <v>310</v>
      </c>
    </row>
    <row r="1029" spans="2:2">
      <c r="B1029" s="66" t="s">
        <v>310</v>
      </c>
    </row>
    <row r="1030" spans="2:2">
      <c r="B1030" s="66" t="s">
        <v>310</v>
      </c>
    </row>
    <row r="1031" spans="2:2">
      <c r="B1031" s="66" t="s">
        <v>310</v>
      </c>
    </row>
    <row r="1032" spans="2:2">
      <c r="B1032" s="66" t="s">
        <v>310</v>
      </c>
    </row>
    <row r="1033" spans="2:2">
      <c r="B1033" s="66" t="s">
        <v>310</v>
      </c>
    </row>
    <row r="1034" spans="2:2">
      <c r="B1034" s="66" t="s">
        <v>310</v>
      </c>
    </row>
    <row r="1035" spans="2:2">
      <c r="B1035" s="66" t="s">
        <v>310</v>
      </c>
    </row>
    <row r="1036" spans="2:2">
      <c r="B1036" s="66" t="s">
        <v>310</v>
      </c>
    </row>
    <row r="1037" spans="2:2">
      <c r="B1037" s="66" t="s">
        <v>310</v>
      </c>
    </row>
    <row r="1038" spans="2:2">
      <c r="B1038" s="66" t="s">
        <v>310</v>
      </c>
    </row>
    <row r="1039" spans="2:2">
      <c r="B1039" s="66" t="s">
        <v>310</v>
      </c>
    </row>
    <row r="1040" spans="2:2">
      <c r="B1040" s="66" t="s">
        <v>310</v>
      </c>
    </row>
    <row r="1041" spans="2:2">
      <c r="B1041" s="66" t="s">
        <v>310</v>
      </c>
    </row>
    <row r="1042" spans="2:2">
      <c r="B1042" s="66" t="s">
        <v>310</v>
      </c>
    </row>
    <row r="1043" spans="2:2">
      <c r="B1043" s="66" t="s">
        <v>310</v>
      </c>
    </row>
    <row r="1044" spans="2:2">
      <c r="B1044" s="66" t="s">
        <v>310</v>
      </c>
    </row>
    <row r="1045" spans="2:2">
      <c r="B1045" s="66" t="s">
        <v>310</v>
      </c>
    </row>
    <row r="1046" spans="2:2">
      <c r="B1046" s="66" t="s">
        <v>310</v>
      </c>
    </row>
    <row r="1047" spans="2:2">
      <c r="B1047" s="66" t="s">
        <v>310</v>
      </c>
    </row>
    <row r="1048" spans="2:2">
      <c r="B1048" s="66" t="s">
        <v>310</v>
      </c>
    </row>
    <row r="1049" spans="2:2">
      <c r="B1049" s="66" t="s">
        <v>310</v>
      </c>
    </row>
    <row r="1050" spans="2:2">
      <c r="B1050" s="66" t="s">
        <v>310</v>
      </c>
    </row>
    <row r="1051" spans="2:2">
      <c r="B1051" s="66" t="s">
        <v>310</v>
      </c>
    </row>
    <row r="1052" spans="2:2">
      <c r="B1052" s="66" t="s">
        <v>310</v>
      </c>
    </row>
    <row r="1053" spans="2:2">
      <c r="B1053" s="66" t="s">
        <v>310</v>
      </c>
    </row>
    <row r="1054" spans="2:2">
      <c r="B1054" s="66" t="s">
        <v>310</v>
      </c>
    </row>
    <row r="1055" spans="2:2">
      <c r="B1055" s="66" t="s">
        <v>310</v>
      </c>
    </row>
    <row r="1056" spans="2:2">
      <c r="B1056" s="66" t="s">
        <v>310</v>
      </c>
    </row>
    <row r="1057" spans="2:2">
      <c r="B1057" s="66" t="s">
        <v>310</v>
      </c>
    </row>
    <row r="1058" spans="2:2">
      <c r="B1058" s="66" t="s">
        <v>310</v>
      </c>
    </row>
    <row r="1059" spans="2:2">
      <c r="B1059" s="66" t="s">
        <v>310</v>
      </c>
    </row>
    <row r="1060" spans="2:2">
      <c r="B1060" s="66" t="s">
        <v>310</v>
      </c>
    </row>
    <row r="1061" spans="2:2">
      <c r="B1061" s="66" t="s">
        <v>310</v>
      </c>
    </row>
    <row r="1062" spans="2:2">
      <c r="B1062" s="66" t="s">
        <v>310</v>
      </c>
    </row>
    <row r="1063" spans="2:2">
      <c r="B1063" s="66" t="s">
        <v>310</v>
      </c>
    </row>
    <row r="1064" spans="2:2">
      <c r="B1064" s="66" t="s">
        <v>310</v>
      </c>
    </row>
    <row r="1065" spans="2:2">
      <c r="B1065" s="66" t="s">
        <v>310</v>
      </c>
    </row>
    <row r="1066" spans="2:2">
      <c r="B1066" s="66" t="s">
        <v>310</v>
      </c>
    </row>
    <row r="1067" spans="2:2">
      <c r="B1067" s="66" t="s">
        <v>310</v>
      </c>
    </row>
    <row r="1068" spans="2:2">
      <c r="B1068" s="66" t="s">
        <v>310</v>
      </c>
    </row>
    <row r="1069" spans="2:2">
      <c r="B1069" s="66" t="s">
        <v>310</v>
      </c>
    </row>
    <row r="1070" spans="2:2">
      <c r="B1070" s="66" t="s">
        <v>310</v>
      </c>
    </row>
    <row r="1071" spans="2:2">
      <c r="B1071" s="66" t="s">
        <v>310</v>
      </c>
    </row>
    <row r="1072" spans="2:2">
      <c r="B1072" s="66" t="s">
        <v>310</v>
      </c>
    </row>
    <row r="1073" spans="2:2">
      <c r="B1073" s="66" t="s">
        <v>310</v>
      </c>
    </row>
    <row r="1074" spans="2:2">
      <c r="B1074" s="66" t="s">
        <v>310</v>
      </c>
    </row>
    <row r="1075" spans="2:2">
      <c r="B1075" s="66" t="s">
        <v>310</v>
      </c>
    </row>
    <row r="1076" spans="2:2">
      <c r="B1076" s="66" t="s">
        <v>310</v>
      </c>
    </row>
    <row r="1077" spans="2:2">
      <c r="B1077" s="66" t="s">
        <v>310</v>
      </c>
    </row>
    <row r="1078" spans="2:2">
      <c r="B1078" s="66" t="s">
        <v>310</v>
      </c>
    </row>
    <row r="1079" spans="2:2">
      <c r="B1079" s="66" t="s">
        <v>310</v>
      </c>
    </row>
    <row r="1080" spans="2:2">
      <c r="B1080" s="66" t="s">
        <v>310</v>
      </c>
    </row>
    <row r="1081" spans="2:2">
      <c r="B1081" s="66" t="s">
        <v>310</v>
      </c>
    </row>
    <row r="1082" spans="2:2">
      <c r="B1082" s="66" t="s">
        <v>310</v>
      </c>
    </row>
    <row r="1083" spans="2:2">
      <c r="B1083" s="66" t="s">
        <v>310</v>
      </c>
    </row>
    <row r="1084" spans="2:2">
      <c r="B1084" s="66" t="s">
        <v>310</v>
      </c>
    </row>
    <row r="1085" spans="2:2">
      <c r="B1085" s="66" t="s">
        <v>310</v>
      </c>
    </row>
    <row r="1086" spans="2:2">
      <c r="B1086" s="66" t="s">
        <v>310</v>
      </c>
    </row>
    <row r="1087" spans="2:2">
      <c r="B1087" s="66" t="s">
        <v>310</v>
      </c>
    </row>
    <row r="1088" spans="2:2">
      <c r="B1088" s="66" t="s">
        <v>310</v>
      </c>
    </row>
    <row r="1089" spans="2:2">
      <c r="B1089" s="66" t="s">
        <v>310</v>
      </c>
    </row>
    <row r="1090" spans="2:2">
      <c r="B1090" s="66" t="s">
        <v>310</v>
      </c>
    </row>
    <row r="1091" spans="2:2">
      <c r="B1091" s="66" t="s">
        <v>310</v>
      </c>
    </row>
    <row r="1092" spans="2:2">
      <c r="B1092" s="66" t="s">
        <v>310</v>
      </c>
    </row>
    <row r="1093" spans="2:2">
      <c r="B1093" s="66" t="s">
        <v>310</v>
      </c>
    </row>
    <row r="1094" spans="2:2">
      <c r="B1094" s="66" t="s">
        <v>310</v>
      </c>
    </row>
    <row r="1095" spans="2:2">
      <c r="B1095" s="66" t="s">
        <v>310</v>
      </c>
    </row>
    <row r="1096" spans="2:2">
      <c r="B1096" s="66" t="s">
        <v>310</v>
      </c>
    </row>
    <row r="1097" spans="2:2">
      <c r="B1097" s="66" t="s">
        <v>310</v>
      </c>
    </row>
    <row r="1098" spans="2:2">
      <c r="B1098" s="66" t="s">
        <v>310</v>
      </c>
    </row>
    <row r="1099" spans="2:2">
      <c r="B1099" s="66" t="s">
        <v>310</v>
      </c>
    </row>
    <row r="1100" spans="2:2">
      <c r="B1100" s="66" t="s">
        <v>310</v>
      </c>
    </row>
    <row r="1101" spans="2:2">
      <c r="B1101" s="66" t="s">
        <v>310</v>
      </c>
    </row>
    <row r="1102" spans="2:2">
      <c r="B1102" s="66" t="s">
        <v>310</v>
      </c>
    </row>
    <row r="1103" spans="2:2">
      <c r="B1103" s="66" t="s">
        <v>310</v>
      </c>
    </row>
    <row r="1104" spans="2:2">
      <c r="B1104" s="66" t="s">
        <v>310</v>
      </c>
    </row>
    <row r="1105" spans="2:2">
      <c r="B1105" s="66" t="s">
        <v>310</v>
      </c>
    </row>
    <row r="1106" spans="2:2">
      <c r="B1106" s="66" t="s">
        <v>310</v>
      </c>
    </row>
    <row r="1107" spans="2:2">
      <c r="B1107" s="66" t="s">
        <v>310</v>
      </c>
    </row>
    <row r="1108" spans="2:2">
      <c r="B1108" s="66" t="s">
        <v>310</v>
      </c>
    </row>
    <row r="1109" spans="2:2">
      <c r="B1109" s="66" t="s">
        <v>310</v>
      </c>
    </row>
    <row r="1110" spans="2:2">
      <c r="B1110" s="66" t="s">
        <v>310</v>
      </c>
    </row>
    <row r="1111" spans="2:2">
      <c r="B1111" s="66" t="s">
        <v>310</v>
      </c>
    </row>
    <row r="1112" spans="2:2">
      <c r="B1112" s="66" t="s">
        <v>310</v>
      </c>
    </row>
    <row r="1113" spans="2:2">
      <c r="B1113" s="66" t="s">
        <v>310</v>
      </c>
    </row>
    <row r="1114" spans="2:2">
      <c r="B1114" s="66" t="s">
        <v>310</v>
      </c>
    </row>
    <row r="1115" spans="2:2">
      <c r="B1115" s="66" t="s">
        <v>310</v>
      </c>
    </row>
    <row r="1116" spans="2:2">
      <c r="B1116" s="66" t="s">
        <v>310</v>
      </c>
    </row>
    <row r="1117" spans="2:2">
      <c r="B1117" s="66" t="s">
        <v>310</v>
      </c>
    </row>
    <row r="1118" spans="2:2">
      <c r="B1118" s="66" t="s">
        <v>310</v>
      </c>
    </row>
    <row r="1119" spans="2:2">
      <c r="B1119" s="66" t="s">
        <v>310</v>
      </c>
    </row>
    <row r="1120" spans="2:2">
      <c r="B1120" s="66" t="s">
        <v>310</v>
      </c>
    </row>
    <row r="1121" spans="2:2">
      <c r="B1121" s="66" t="s">
        <v>310</v>
      </c>
    </row>
    <row r="1122" spans="2:2">
      <c r="B1122" s="66" t="s">
        <v>310</v>
      </c>
    </row>
    <row r="1123" spans="2:2">
      <c r="B1123" s="66" t="s">
        <v>310</v>
      </c>
    </row>
    <row r="1124" spans="2:2">
      <c r="B1124" s="66" t="s">
        <v>310</v>
      </c>
    </row>
    <row r="1125" spans="2:2">
      <c r="B1125" s="66" t="s">
        <v>310</v>
      </c>
    </row>
    <row r="1126" spans="2:2">
      <c r="B1126" s="66" t="s">
        <v>310</v>
      </c>
    </row>
    <row r="1127" spans="2:2">
      <c r="B1127" s="66" t="s">
        <v>310</v>
      </c>
    </row>
    <row r="1128" spans="2:2">
      <c r="B1128" s="66" t="s">
        <v>310</v>
      </c>
    </row>
    <row r="1129" spans="2:2">
      <c r="B1129" s="66" t="s">
        <v>310</v>
      </c>
    </row>
    <row r="1130" spans="2:2">
      <c r="B1130" s="66" t="s">
        <v>310</v>
      </c>
    </row>
    <row r="1131" spans="2:2">
      <c r="B1131" s="66" t="s">
        <v>310</v>
      </c>
    </row>
    <row r="1132" spans="2:2">
      <c r="B1132" s="66" t="s">
        <v>310</v>
      </c>
    </row>
    <row r="1133" spans="2:2">
      <c r="B1133" s="66" t="s">
        <v>310</v>
      </c>
    </row>
    <row r="1134" spans="2:2">
      <c r="B1134" s="66" t="s">
        <v>310</v>
      </c>
    </row>
    <row r="1135" spans="2:2">
      <c r="B1135" s="66" t="s">
        <v>310</v>
      </c>
    </row>
    <row r="1136" spans="2:2">
      <c r="B1136" s="66" t="s">
        <v>310</v>
      </c>
    </row>
    <row r="1137" spans="2:2">
      <c r="B1137" s="66" t="s">
        <v>310</v>
      </c>
    </row>
    <row r="1138" spans="2:2">
      <c r="B1138" s="66" t="s">
        <v>310</v>
      </c>
    </row>
    <row r="1139" spans="2:2">
      <c r="B1139" s="66" t="s">
        <v>310</v>
      </c>
    </row>
    <row r="1140" spans="2:2">
      <c r="B1140" s="66" t="s">
        <v>310</v>
      </c>
    </row>
    <row r="1141" spans="2:2">
      <c r="B1141" s="66" t="s">
        <v>310</v>
      </c>
    </row>
    <row r="1142" spans="2:2">
      <c r="B1142" s="66" t="s">
        <v>310</v>
      </c>
    </row>
    <row r="1143" spans="2:2">
      <c r="B1143" s="66" t="s">
        <v>310</v>
      </c>
    </row>
    <row r="1144" spans="2:2">
      <c r="B1144" s="66" t="s">
        <v>310</v>
      </c>
    </row>
    <row r="1145" spans="2:2">
      <c r="B1145" s="66" t="s">
        <v>310</v>
      </c>
    </row>
    <row r="1146" spans="2:2">
      <c r="B1146" s="66" t="s">
        <v>310</v>
      </c>
    </row>
    <row r="1147" spans="2:2">
      <c r="B1147" s="66" t="s">
        <v>310</v>
      </c>
    </row>
    <row r="1148" spans="2:2">
      <c r="B1148" s="66" t="s">
        <v>310</v>
      </c>
    </row>
    <row r="1149" spans="2:2">
      <c r="B1149" s="66" t="s">
        <v>310</v>
      </c>
    </row>
    <row r="1150" spans="2:2">
      <c r="B1150" s="66" t="s">
        <v>310</v>
      </c>
    </row>
    <row r="1151" spans="2:2">
      <c r="B1151" s="66" t="s">
        <v>310</v>
      </c>
    </row>
    <row r="1152" spans="2:2">
      <c r="B1152" s="66" t="s">
        <v>310</v>
      </c>
    </row>
    <row r="1153" spans="2:2">
      <c r="B1153" s="66" t="s">
        <v>310</v>
      </c>
    </row>
    <row r="1154" spans="2:2">
      <c r="B1154" s="66" t="s">
        <v>310</v>
      </c>
    </row>
    <row r="1155" spans="2:2">
      <c r="B1155" s="66" t="s">
        <v>310</v>
      </c>
    </row>
    <row r="1156" spans="2:2">
      <c r="B1156" s="66" t="s">
        <v>310</v>
      </c>
    </row>
    <row r="1157" spans="2:2">
      <c r="B1157" s="66" t="s">
        <v>310</v>
      </c>
    </row>
    <row r="1158" spans="2:2">
      <c r="B1158" s="66" t="s">
        <v>310</v>
      </c>
    </row>
    <row r="1159" spans="2:2">
      <c r="B1159" s="66" t="s">
        <v>310</v>
      </c>
    </row>
    <row r="1160" spans="2:2">
      <c r="B1160" s="66" t="s">
        <v>310</v>
      </c>
    </row>
    <row r="1161" spans="2:2">
      <c r="B1161" s="66" t="s">
        <v>310</v>
      </c>
    </row>
    <row r="1162" spans="2:2">
      <c r="B1162" s="66" t="s">
        <v>310</v>
      </c>
    </row>
    <row r="1163" spans="2:2">
      <c r="B1163" s="66" t="s">
        <v>310</v>
      </c>
    </row>
    <row r="1164" spans="2:2">
      <c r="B1164" s="66" t="s">
        <v>310</v>
      </c>
    </row>
    <row r="1165" spans="2:2">
      <c r="B1165" s="66" t="s">
        <v>310</v>
      </c>
    </row>
    <row r="1166" spans="2:2">
      <c r="B1166" s="66" t="s">
        <v>310</v>
      </c>
    </row>
    <row r="1167" spans="2:2">
      <c r="B1167" s="66" t="s">
        <v>310</v>
      </c>
    </row>
    <row r="1168" spans="2:2">
      <c r="B1168" s="66" t="s">
        <v>310</v>
      </c>
    </row>
    <row r="1169" spans="2:2">
      <c r="B1169" s="66" t="s">
        <v>310</v>
      </c>
    </row>
    <row r="1170" spans="2:2">
      <c r="B1170" s="66" t="s">
        <v>310</v>
      </c>
    </row>
    <row r="1171" spans="2:2">
      <c r="B1171" s="66" t="s">
        <v>310</v>
      </c>
    </row>
    <row r="1172" spans="2:2">
      <c r="B1172" s="66" t="s">
        <v>310</v>
      </c>
    </row>
    <row r="1173" spans="2:2">
      <c r="B1173" s="66" t="s">
        <v>310</v>
      </c>
    </row>
    <row r="1174" spans="2:2">
      <c r="B1174" s="66" t="s">
        <v>310</v>
      </c>
    </row>
    <row r="1175" spans="2:2">
      <c r="B1175" s="66" t="s">
        <v>310</v>
      </c>
    </row>
    <row r="1176" spans="2:2">
      <c r="B1176" s="66" t="s">
        <v>310</v>
      </c>
    </row>
    <row r="1177" spans="2:2">
      <c r="B1177" s="66" t="s">
        <v>310</v>
      </c>
    </row>
    <row r="1178" spans="2:2">
      <c r="B1178" s="66" t="s">
        <v>310</v>
      </c>
    </row>
    <row r="1179" spans="2:2">
      <c r="B1179" s="66" t="s">
        <v>310</v>
      </c>
    </row>
    <row r="1180" spans="2:2">
      <c r="B1180" s="66" t="s">
        <v>310</v>
      </c>
    </row>
    <row r="1181" spans="2:2">
      <c r="B1181" s="66" t="s">
        <v>310</v>
      </c>
    </row>
    <row r="1182" spans="2:2">
      <c r="B1182" s="66" t="s">
        <v>310</v>
      </c>
    </row>
    <row r="1183" spans="2:2">
      <c r="B1183" s="66" t="s">
        <v>310</v>
      </c>
    </row>
    <row r="1184" spans="2:2">
      <c r="B1184" s="66" t="s">
        <v>310</v>
      </c>
    </row>
    <row r="1185" spans="2:2">
      <c r="B1185" s="66" t="s">
        <v>310</v>
      </c>
    </row>
    <row r="1186" spans="2:2">
      <c r="B1186" s="66" t="s">
        <v>310</v>
      </c>
    </row>
    <row r="1187" spans="2:2">
      <c r="B1187" s="66" t="s">
        <v>310</v>
      </c>
    </row>
    <row r="1188" spans="2:2">
      <c r="B1188" s="66" t="s">
        <v>310</v>
      </c>
    </row>
    <row r="1189" spans="2:2">
      <c r="B1189" s="66" t="s">
        <v>310</v>
      </c>
    </row>
    <row r="1190" spans="2:2">
      <c r="B1190" s="66" t="s">
        <v>310</v>
      </c>
    </row>
    <row r="1191" spans="2:2">
      <c r="B1191" s="66" t="s">
        <v>310</v>
      </c>
    </row>
    <row r="1192" spans="2:2">
      <c r="B1192" s="66" t="s">
        <v>310</v>
      </c>
    </row>
    <row r="1193" spans="2:2">
      <c r="B1193" s="66" t="s">
        <v>310</v>
      </c>
    </row>
    <row r="1194" spans="2:2">
      <c r="B1194" s="66" t="s">
        <v>310</v>
      </c>
    </row>
    <row r="1195" spans="2:2">
      <c r="B1195" s="66" t="s">
        <v>310</v>
      </c>
    </row>
    <row r="1196" spans="2:2">
      <c r="B1196" s="66" t="s">
        <v>310</v>
      </c>
    </row>
    <row r="1197" spans="2:2">
      <c r="B1197" s="66" t="s">
        <v>310</v>
      </c>
    </row>
    <row r="1198" spans="2:2">
      <c r="B1198" s="66" t="s">
        <v>310</v>
      </c>
    </row>
    <row r="1199" spans="2:2">
      <c r="B1199" s="66" t="s">
        <v>310</v>
      </c>
    </row>
    <row r="1200" spans="2:2">
      <c r="B1200" s="66" t="s">
        <v>310</v>
      </c>
    </row>
    <row r="1201" spans="2:2">
      <c r="B1201" s="66" t="s">
        <v>310</v>
      </c>
    </row>
    <row r="1202" spans="2:2">
      <c r="B1202" s="66" t="s">
        <v>310</v>
      </c>
    </row>
    <row r="1203" spans="2:2">
      <c r="B1203" s="66" t="s">
        <v>310</v>
      </c>
    </row>
    <row r="1204" spans="2:2">
      <c r="B1204" s="66" t="s">
        <v>310</v>
      </c>
    </row>
    <row r="1205" spans="2:2">
      <c r="B1205" s="66" t="s">
        <v>310</v>
      </c>
    </row>
    <row r="1206" spans="2:2">
      <c r="B1206" s="66" t="s">
        <v>310</v>
      </c>
    </row>
    <row r="1207" spans="2:2">
      <c r="B1207" s="66" t="s">
        <v>310</v>
      </c>
    </row>
    <row r="1208" spans="2:2">
      <c r="B1208" s="66" t="s">
        <v>310</v>
      </c>
    </row>
    <row r="1209" spans="2:2">
      <c r="B1209" s="66" t="s">
        <v>310</v>
      </c>
    </row>
    <row r="1210" spans="2:2">
      <c r="B1210" s="66" t="s">
        <v>310</v>
      </c>
    </row>
    <row r="1211" spans="2:2">
      <c r="B1211" s="66" t="s">
        <v>310</v>
      </c>
    </row>
    <row r="1212" spans="2:2">
      <c r="B1212" s="66" t="s">
        <v>310</v>
      </c>
    </row>
    <row r="1213" spans="2:2">
      <c r="B1213" s="66" t="s">
        <v>310</v>
      </c>
    </row>
    <row r="1214" spans="2:2">
      <c r="B1214" s="66" t="s">
        <v>310</v>
      </c>
    </row>
    <row r="1215" spans="2:2">
      <c r="B1215" s="66" t="s">
        <v>310</v>
      </c>
    </row>
    <row r="1216" spans="2:2">
      <c r="B1216" s="66" t="s">
        <v>310</v>
      </c>
    </row>
    <row r="1217" spans="2:2">
      <c r="B1217" s="66" t="s">
        <v>310</v>
      </c>
    </row>
    <row r="1218" spans="2:2">
      <c r="B1218" s="66" t="s">
        <v>310</v>
      </c>
    </row>
    <row r="1219" spans="2:2">
      <c r="B1219" s="66" t="s">
        <v>310</v>
      </c>
    </row>
    <row r="1220" spans="2:2">
      <c r="B1220" s="66" t="s">
        <v>310</v>
      </c>
    </row>
    <row r="1221" spans="2:2">
      <c r="B1221" s="66" t="s">
        <v>310</v>
      </c>
    </row>
    <row r="1222" spans="2:2">
      <c r="B1222" s="66" t="s">
        <v>310</v>
      </c>
    </row>
    <row r="1223" spans="2:2">
      <c r="B1223" s="66" t="s">
        <v>310</v>
      </c>
    </row>
    <row r="1224" spans="2:2">
      <c r="B1224" s="66" t="s">
        <v>310</v>
      </c>
    </row>
    <row r="1225" spans="2:2">
      <c r="B1225" s="66" t="s">
        <v>310</v>
      </c>
    </row>
    <row r="1226" spans="2:2">
      <c r="B1226" s="66" t="s">
        <v>310</v>
      </c>
    </row>
    <row r="1227" spans="2:2">
      <c r="B1227" s="66" t="s">
        <v>310</v>
      </c>
    </row>
    <row r="1228" spans="2:2">
      <c r="B1228" s="66" t="s">
        <v>310</v>
      </c>
    </row>
    <row r="1229" spans="2:2">
      <c r="B1229" s="66" t="s">
        <v>310</v>
      </c>
    </row>
    <row r="1230" spans="2:2">
      <c r="B1230" s="66" t="s">
        <v>310</v>
      </c>
    </row>
    <row r="1231" spans="2:2">
      <c r="B1231" s="66" t="s">
        <v>310</v>
      </c>
    </row>
    <row r="1232" spans="2:2">
      <c r="B1232" s="66" t="s">
        <v>310</v>
      </c>
    </row>
    <row r="1233" spans="2:2">
      <c r="B1233" s="66" t="s">
        <v>310</v>
      </c>
    </row>
    <row r="1234" spans="2:2">
      <c r="B1234" s="66" t="s">
        <v>310</v>
      </c>
    </row>
    <row r="1235" spans="2:2">
      <c r="B1235" s="66" t="s">
        <v>310</v>
      </c>
    </row>
    <row r="1236" spans="2:2">
      <c r="B1236" s="66" t="s">
        <v>310</v>
      </c>
    </row>
    <row r="1237" spans="2:2">
      <c r="B1237" s="66" t="s">
        <v>310</v>
      </c>
    </row>
    <row r="1238" spans="2:2">
      <c r="B1238" s="66" t="s">
        <v>310</v>
      </c>
    </row>
    <row r="1239" spans="2:2">
      <c r="B1239" s="66" t="s">
        <v>310</v>
      </c>
    </row>
    <row r="1240" spans="2:2">
      <c r="B1240" s="66" t="s">
        <v>310</v>
      </c>
    </row>
    <row r="1241" spans="2:2">
      <c r="B1241" s="66" t="s">
        <v>310</v>
      </c>
    </row>
    <row r="1242" spans="2:2">
      <c r="B1242" s="66" t="s">
        <v>310</v>
      </c>
    </row>
    <row r="1243" spans="2:2">
      <c r="B1243" s="66" t="s">
        <v>310</v>
      </c>
    </row>
    <row r="1244" spans="2:2">
      <c r="B1244" s="66" t="s">
        <v>310</v>
      </c>
    </row>
    <row r="1245" spans="2:2">
      <c r="B1245" s="66" t="s">
        <v>310</v>
      </c>
    </row>
    <row r="1246" spans="2:2">
      <c r="B1246" s="66" t="s">
        <v>310</v>
      </c>
    </row>
    <row r="1247" spans="2:2">
      <c r="B1247" s="66" t="s">
        <v>310</v>
      </c>
    </row>
    <row r="1248" spans="2:2">
      <c r="B1248" s="66" t="s">
        <v>310</v>
      </c>
    </row>
    <row r="1249" spans="2:2">
      <c r="B1249" s="66" t="s">
        <v>310</v>
      </c>
    </row>
    <row r="1250" spans="2:2">
      <c r="B1250" s="66" t="s">
        <v>310</v>
      </c>
    </row>
    <row r="1251" spans="2:2">
      <c r="B1251" s="66" t="s">
        <v>310</v>
      </c>
    </row>
    <row r="1252" spans="2:2">
      <c r="B1252" s="66" t="s">
        <v>310</v>
      </c>
    </row>
    <row r="1253" spans="2:2">
      <c r="B1253" s="66" t="s">
        <v>310</v>
      </c>
    </row>
    <row r="1254" spans="2:2">
      <c r="B1254" s="66" t="s">
        <v>310</v>
      </c>
    </row>
    <row r="1255" spans="2:2">
      <c r="B1255" s="66" t="s">
        <v>310</v>
      </c>
    </row>
    <row r="1256" spans="2:2">
      <c r="B1256" s="66" t="s">
        <v>310</v>
      </c>
    </row>
    <row r="1257" spans="2:2">
      <c r="B1257" s="66" t="s">
        <v>310</v>
      </c>
    </row>
    <row r="1258" spans="2:2">
      <c r="B1258" s="66" t="s">
        <v>310</v>
      </c>
    </row>
    <row r="1259" spans="2:2">
      <c r="B1259" s="66" t="s">
        <v>310</v>
      </c>
    </row>
    <row r="1260" spans="2:2">
      <c r="B1260" s="66" t="s">
        <v>310</v>
      </c>
    </row>
    <row r="1261" spans="2:2">
      <c r="B1261" s="66" t="s">
        <v>310</v>
      </c>
    </row>
    <row r="1262" spans="2:2">
      <c r="B1262" s="66" t="s">
        <v>310</v>
      </c>
    </row>
    <row r="1263" spans="2:2">
      <c r="B1263" s="66" t="s">
        <v>310</v>
      </c>
    </row>
    <row r="1264" spans="2:2">
      <c r="B1264" s="66" t="s">
        <v>310</v>
      </c>
    </row>
    <row r="1265" spans="2:2">
      <c r="B1265" s="66" t="s">
        <v>310</v>
      </c>
    </row>
    <row r="1266" spans="2:2">
      <c r="B1266" s="66" t="s">
        <v>310</v>
      </c>
    </row>
    <row r="1267" spans="2:2">
      <c r="B1267" s="66" t="s">
        <v>310</v>
      </c>
    </row>
    <row r="1268" spans="2:2">
      <c r="B1268" s="66" t="s">
        <v>310</v>
      </c>
    </row>
    <row r="1269" spans="2:2">
      <c r="B1269" s="66" t="s">
        <v>310</v>
      </c>
    </row>
    <row r="1270" spans="2:2">
      <c r="B1270" s="66" t="s">
        <v>310</v>
      </c>
    </row>
    <row r="1271" spans="2:2">
      <c r="B1271" s="66" t="s">
        <v>310</v>
      </c>
    </row>
    <row r="1272" spans="2:2">
      <c r="B1272" s="66" t="s">
        <v>310</v>
      </c>
    </row>
    <row r="1273" spans="2:2">
      <c r="B1273" s="66" t="s">
        <v>310</v>
      </c>
    </row>
    <row r="1274" spans="2:2">
      <c r="B1274" s="66" t="s">
        <v>310</v>
      </c>
    </row>
    <row r="1275" spans="2:2">
      <c r="B1275" s="66" t="s">
        <v>310</v>
      </c>
    </row>
    <row r="1276" spans="2:2">
      <c r="B1276" s="66" t="s">
        <v>310</v>
      </c>
    </row>
    <row r="1277" spans="2:2">
      <c r="B1277" s="66" t="s">
        <v>310</v>
      </c>
    </row>
    <row r="1278" spans="2:2">
      <c r="B1278" s="66" t="s">
        <v>310</v>
      </c>
    </row>
    <row r="1279" spans="2:2">
      <c r="B1279" s="66" t="s">
        <v>310</v>
      </c>
    </row>
    <row r="1280" spans="2:2">
      <c r="B1280" s="66" t="s">
        <v>310</v>
      </c>
    </row>
    <row r="1281" spans="2:2">
      <c r="B1281" s="66" t="s">
        <v>310</v>
      </c>
    </row>
    <row r="1282" spans="2:2">
      <c r="B1282" s="66" t="s">
        <v>310</v>
      </c>
    </row>
    <row r="1283" spans="2:2">
      <c r="B1283" s="66" t="s">
        <v>310</v>
      </c>
    </row>
    <row r="1284" spans="2:2">
      <c r="B1284" s="66" t="s">
        <v>310</v>
      </c>
    </row>
    <row r="1285" spans="2:2">
      <c r="B1285" s="66" t="s">
        <v>310</v>
      </c>
    </row>
    <row r="1286" spans="2:2">
      <c r="B1286" s="66" t="s">
        <v>310</v>
      </c>
    </row>
    <row r="1287" spans="2:2">
      <c r="B1287" s="66" t="s">
        <v>310</v>
      </c>
    </row>
    <row r="1288" spans="2:2">
      <c r="B1288" s="66" t="s">
        <v>310</v>
      </c>
    </row>
    <row r="1289" spans="2:2">
      <c r="B1289" s="66" t="s">
        <v>310</v>
      </c>
    </row>
    <row r="1290" spans="2:2">
      <c r="B1290" s="66" t="s">
        <v>310</v>
      </c>
    </row>
    <row r="1291" spans="2:2">
      <c r="B1291" s="66" t="s">
        <v>310</v>
      </c>
    </row>
    <row r="1292" spans="2:2">
      <c r="B1292" s="66" t="s">
        <v>310</v>
      </c>
    </row>
    <row r="1293" spans="2:2">
      <c r="B1293" s="66" t="s">
        <v>310</v>
      </c>
    </row>
    <row r="1294" spans="2:2">
      <c r="B1294" s="66" t="s">
        <v>310</v>
      </c>
    </row>
    <row r="1295" spans="2:2">
      <c r="B1295" s="66" t="s">
        <v>310</v>
      </c>
    </row>
    <row r="1296" spans="2:2">
      <c r="B1296" s="66" t="s">
        <v>310</v>
      </c>
    </row>
    <row r="1297" spans="2:2">
      <c r="B1297" s="66" t="s">
        <v>310</v>
      </c>
    </row>
    <row r="1298" spans="2:2">
      <c r="B1298" s="66" t="s">
        <v>310</v>
      </c>
    </row>
    <row r="1299" spans="2:2">
      <c r="B1299" s="66" t="s">
        <v>310</v>
      </c>
    </row>
    <row r="1300" spans="2:2">
      <c r="B1300" s="66" t="s">
        <v>310</v>
      </c>
    </row>
    <row r="1301" spans="2:2">
      <c r="B1301" s="66" t="s">
        <v>310</v>
      </c>
    </row>
    <row r="1302" spans="2:2">
      <c r="B1302" s="66" t="s">
        <v>310</v>
      </c>
    </row>
    <row r="1303" spans="2:2">
      <c r="B1303" s="66" t="s">
        <v>310</v>
      </c>
    </row>
    <row r="1304" spans="2:2">
      <c r="B1304" s="66" t="s">
        <v>310</v>
      </c>
    </row>
    <row r="1305" spans="2:2">
      <c r="B1305" s="66" t="s">
        <v>310</v>
      </c>
    </row>
    <row r="1306" spans="2:2">
      <c r="B1306" s="66" t="s">
        <v>310</v>
      </c>
    </row>
    <row r="1307" spans="2:2">
      <c r="B1307" s="66" t="s">
        <v>310</v>
      </c>
    </row>
    <row r="1308" spans="2:2">
      <c r="B1308" s="66" t="s">
        <v>310</v>
      </c>
    </row>
    <row r="1309" spans="2:2">
      <c r="B1309" s="66" t="s">
        <v>310</v>
      </c>
    </row>
    <row r="1310" spans="2:2">
      <c r="B1310" s="66" t="s">
        <v>310</v>
      </c>
    </row>
    <row r="1311" spans="2:2">
      <c r="B1311" s="66" t="s">
        <v>310</v>
      </c>
    </row>
    <row r="1312" spans="2:2">
      <c r="B1312" s="66" t="s">
        <v>310</v>
      </c>
    </row>
    <row r="1313" spans="2:2">
      <c r="B1313" s="66" t="s">
        <v>310</v>
      </c>
    </row>
    <row r="1314" spans="2:2">
      <c r="B1314" s="66" t="s">
        <v>310</v>
      </c>
    </row>
    <row r="1315" spans="2:2">
      <c r="B1315" s="66" t="s">
        <v>310</v>
      </c>
    </row>
    <row r="1316" spans="2:2">
      <c r="B1316" s="66" t="s">
        <v>310</v>
      </c>
    </row>
    <row r="1317" spans="2:2">
      <c r="B1317" s="66" t="s">
        <v>310</v>
      </c>
    </row>
    <row r="1318" spans="2:2">
      <c r="B1318" s="66" t="s">
        <v>310</v>
      </c>
    </row>
    <row r="1319" spans="2:2">
      <c r="B1319" s="66" t="s">
        <v>310</v>
      </c>
    </row>
    <row r="1320" spans="2:2">
      <c r="B1320" s="66" t="s">
        <v>310</v>
      </c>
    </row>
    <row r="1321" spans="2:2">
      <c r="B1321" s="66" t="s">
        <v>310</v>
      </c>
    </row>
    <row r="1322" spans="2:2">
      <c r="B1322" s="66" t="s">
        <v>310</v>
      </c>
    </row>
    <row r="1323" spans="2:2">
      <c r="B1323" s="66" t="s">
        <v>310</v>
      </c>
    </row>
    <row r="1324" spans="2:2">
      <c r="B1324" s="66" t="s">
        <v>310</v>
      </c>
    </row>
    <row r="1325" spans="2:2">
      <c r="B1325" s="66" t="s">
        <v>310</v>
      </c>
    </row>
    <row r="1326" spans="2:2">
      <c r="B1326" s="66" t="s">
        <v>310</v>
      </c>
    </row>
    <row r="1327" spans="2:2">
      <c r="B1327" s="66" t="s">
        <v>310</v>
      </c>
    </row>
    <row r="1328" spans="2:2">
      <c r="B1328" s="66" t="s">
        <v>310</v>
      </c>
    </row>
    <row r="1329" spans="2:2">
      <c r="B1329" s="66" t="s">
        <v>310</v>
      </c>
    </row>
    <row r="1330" spans="2:2">
      <c r="B1330" s="66" t="s">
        <v>310</v>
      </c>
    </row>
    <row r="1331" spans="2:2">
      <c r="B1331" s="66" t="s">
        <v>310</v>
      </c>
    </row>
    <row r="1332" spans="2:2">
      <c r="B1332" s="66" t="s">
        <v>310</v>
      </c>
    </row>
    <row r="1333" spans="2:2">
      <c r="B1333" s="66" t="s">
        <v>310</v>
      </c>
    </row>
    <row r="1334" spans="2:2">
      <c r="B1334" s="66" t="s">
        <v>310</v>
      </c>
    </row>
    <row r="1335" spans="2:2">
      <c r="B1335" s="66" t="s">
        <v>310</v>
      </c>
    </row>
    <row r="1336" spans="2:2">
      <c r="B1336" s="66" t="s">
        <v>310</v>
      </c>
    </row>
    <row r="1337" spans="2:2">
      <c r="B1337" s="66" t="s">
        <v>310</v>
      </c>
    </row>
    <row r="1338" spans="2:2">
      <c r="B1338" s="66" t="s">
        <v>310</v>
      </c>
    </row>
    <row r="1339" spans="2:2">
      <c r="B1339" s="66" t="s">
        <v>310</v>
      </c>
    </row>
    <row r="1340" spans="2:2">
      <c r="B1340" s="66" t="s">
        <v>310</v>
      </c>
    </row>
    <row r="1341" spans="2:2">
      <c r="B1341" s="66" t="s">
        <v>310</v>
      </c>
    </row>
    <row r="1342" spans="2:2">
      <c r="B1342" s="66" t="s">
        <v>310</v>
      </c>
    </row>
    <row r="1343" spans="2:2">
      <c r="B1343" s="66" t="s">
        <v>310</v>
      </c>
    </row>
    <row r="1344" spans="2:2">
      <c r="B1344" s="66" t="s">
        <v>310</v>
      </c>
    </row>
    <row r="1345" spans="2:2">
      <c r="B1345" s="66" t="s">
        <v>310</v>
      </c>
    </row>
    <row r="1346" spans="2:2">
      <c r="B1346" s="66" t="s">
        <v>310</v>
      </c>
    </row>
    <row r="1347" spans="2:2">
      <c r="B1347" s="66" t="s">
        <v>310</v>
      </c>
    </row>
    <row r="1348" spans="2:2">
      <c r="B1348" s="66" t="s">
        <v>310</v>
      </c>
    </row>
    <row r="1349" spans="2:2">
      <c r="B1349" s="66" t="s">
        <v>310</v>
      </c>
    </row>
    <row r="1350" spans="2:2">
      <c r="B1350" s="66" t="s">
        <v>310</v>
      </c>
    </row>
    <row r="1351" spans="2:2">
      <c r="B1351" s="66" t="s">
        <v>310</v>
      </c>
    </row>
    <row r="1352" spans="2:2">
      <c r="B1352" s="66" t="s">
        <v>310</v>
      </c>
    </row>
    <row r="1353" spans="2:2">
      <c r="B1353" s="66" t="s">
        <v>310</v>
      </c>
    </row>
    <row r="1354" spans="2:2">
      <c r="B1354" s="66" t="s">
        <v>310</v>
      </c>
    </row>
    <row r="1355" spans="2:2">
      <c r="B1355" s="66" t="s">
        <v>310</v>
      </c>
    </row>
    <row r="1356" spans="2:2">
      <c r="B1356" s="66" t="s">
        <v>310</v>
      </c>
    </row>
    <row r="1357" spans="2:2">
      <c r="B1357" s="66" t="s">
        <v>310</v>
      </c>
    </row>
    <row r="1358" spans="2:2">
      <c r="B1358" s="66" t="s">
        <v>310</v>
      </c>
    </row>
    <row r="1359" spans="2:2">
      <c r="B1359" s="66" t="s">
        <v>310</v>
      </c>
    </row>
    <row r="1360" spans="2:2">
      <c r="B1360" s="66" t="s">
        <v>310</v>
      </c>
    </row>
    <row r="1361" spans="2:2">
      <c r="B1361" s="66" t="s">
        <v>310</v>
      </c>
    </row>
    <row r="1362" spans="2:2">
      <c r="B1362" s="66" t="s">
        <v>310</v>
      </c>
    </row>
    <row r="1363" spans="2:2">
      <c r="B1363" s="66" t="s">
        <v>310</v>
      </c>
    </row>
    <row r="1364" spans="2:2">
      <c r="B1364" s="66" t="s">
        <v>310</v>
      </c>
    </row>
    <row r="1365" spans="2:2">
      <c r="B1365" s="66" t="s">
        <v>310</v>
      </c>
    </row>
    <row r="1366" spans="2:2">
      <c r="B1366" s="66" t="s">
        <v>310</v>
      </c>
    </row>
    <row r="1367" spans="2:2">
      <c r="B1367" s="66" t="s">
        <v>310</v>
      </c>
    </row>
    <row r="1368" spans="2:2">
      <c r="B1368" s="66" t="s">
        <v>310</v>
      </c>
    </row>
    <row r="1369" spans="2:2">
      <c r="B1369" s="66" t="s">
        <v>310</v>
      </c>
    </row>
    <row r="1370" spans="2:2">
      <c r="B1370" s="66" t="s">
        <v>310</v>
      </c>
    </row>
    <row r="1371" spans="2:2">
      <c r="B1371" s="66" t="s">
        <v>310</v>
      </c>
    </row>
    <row r="1372" spans="2:2">
      <c r="B1372" s="66" t="s">
        <v>310</v>
      </c>
    </row>
    <row r="1373" spans="2:2">
      <c r="B1373" s="66" t="s">
        <v>310</v>
      </c>
    </row>
    <row r="1374" spans="2:2">
      <c r="B1374" s="66" t="s">
        <v>310</v>
      </c>
    </row>
    <row r="1375" spans="2:2">
      <c r="B1375" s="66" t="s">
        <v>310</v>
      </c>
    </row>
    <row r="1376" spans="2:2">
      <c r="B1376" s="66" t="s">
        <v>310</v>
      </c>
    </row>
    <row r="1377" spans="2:2">
      <c r="B1377" s="66" t="s">
        <v>310</v>
      </c>
    </row>
    <row r="1378" spans="2:2">
      <c r="B1378" s="66" t="s">
        <v>310</v>
      </c>
    </row>
    <row r="1379" spans="2:2">
      <c r="B1379" s="66" t="s">
        <v>310</v>
      </c>
    </row>
    <row r="1380" spans="2:2">
      <c r="B1380" s="66" t="s">
        <v>310</v>
      </c>
    </row>
    <row r="1381" spans="2:2">
      <c r="B1381" s="66" t="s">
        <v>310</v>
      </c>
    </row>
    <row r="1382" spans="2:2">
      <c r="B1382" s="66" t="s">
        <v>310</v>
      </c>
    </row>
    <row r="1383" spans="2:2">
      <c r="B1383" s="66" t="s">
        <v>310</v>
      </c>
    </row>
    <row r="1384" spans="2:2">
      <c r="B1384" s="66" t="s">
        <v>310</v>
      </c>
    </row>
    <row r="1385" spans="2:2">
      <c r="B1385" s="66" t="s">
        <v>310</v>
      </c>
    </row>
    <row r="1386" spans="2:2">
      <c r="B1386" s="66" t="s">
        <v>310</v>
      </c>
    </row>
    <row r="1387" spans="2:2">
      <c r="B1387" s="66" t="s">
        <v>310</v>
      </c>
    </row>
    <row r="1388" spans="2:2">
      <c r="B1388" s="66" t="s">
        <v>310</v>
      </c>
    </row>
    <row r="1389" spans="2:2">
      <c r="B1389" s="66" t="s">
        <v>310</v>
      </c>
    </row>
    <row r="1390" spans="2:2">
      <c r="B1390" s="66" t="s">
        <v>310</v>
      </c>
    </row>
    <row r="1391" spans="2:2">
      <c r="B1391" s="66" t="s">
        <v>310</v>
      </c>
    </row>
    <row r="1392" spans="2:2">
      <c r="B1392" s="66" t="s">
        <v>310</v>
      </c>
    </row>
    <row r="1393" spans="2:2">
      <c r="B1393" s="66" t="s">
        <v>310</v>
      </c>
    </row>
    <row r="1394" spans="2:2">
      <c r="B1394" s="66" t="s">
        <v>310</v>
      </c>
    </row>
    <row r="1395" spans="2:2">
      <c r="B1395" s="66" t="s">
        <v>310</v>
      </c>
    </row>
    <row r="1396" spans="2:2">
      <c r="B1396" s="66" t="s">
        <v>310</v>
      </c>
    </row>
    <row r="1397" spans="2:2">
      <c r="B1397" s="66" t="s">
        <v>310</v>
      </c>
    </row>
    <row r="1398" spans="2:2">
      <c r="B1398" s="66" t="s">
        <v>310</v>
      </c>
    </row>
    <row r="1399" spans="2:2">
      <c r="B1399" s="66" t="s">
        <v>310</v>
      </c>
    </row>
    <row r="1400" spans="2:2">
      <c r="B1400" s="66" t="s">
        <v>310</v>
      </c>
    </row>
    <row r="1401" spans="2:2">
      <c r="B1401" s="66" t="s">
        <v>310</v>
      </c>
    </row>
    <row r="1402" spans="2:2">
      <c r="B1402" s="66" t="s">
        <v>310</v>
      </c>
    </row>
    <row r="1403" spans="2:2">
      <c r="B1403" s="66" t="s">
        <v>310</v>
      </c>
    </row>
    <row r="1404" spans="2:2">
      <c r="B1404" s="66" t="s">
        <v>310</v>
      </c>
    </row>
    <row r="1405" spans="2:2">
      <c r="B1405" s="66" t="s">
        <v>310</v>
      </c>
    </row>
    <row r="1406" spans="2:2">
      <c r="B1406" s="66" t="s">
        <v>310</v>
      </c>
    </row>
    <row r="1407" spans="2:2">
      <c r="B1407" s="66" t="s">
        <v>310</v>
      </c>
    </row>
    <row r="1408" spans="2:2">
      <c r="B1408" s="66" t="s">
        <v>310</v>
      </c>
    </row>
    <row r="1409" spans="2:2">
      <c r="B1409" s="66" t="s">
        <v>310</v>
      </c>
    </row>
    <row r="1410" spans="2:2">
      <c r="B1410" s="66" t="s">
        <v>310</v>
      </c>
    </row>
    <row r="1411" spans="2:2">
      <c r="B1411" s="66" t="s">
        <v>310</v>
      </c>
    </row>
    <row r="1412" spans="2:2">
      <c r="B1412" s="66" t="s">
        <v>310</v>
      </c>
    </row>
    <row r="1413" spans="2:2">
      <c r="B1413" s="66" t="s">
        <v>310</v>
      </c>
    </row>
    <row r="1414" spans="2:2">
      <c r="B1414" s="66" t="s">
        <v>310</v>
      </c>
    </row>
    <row r="1415" spans="2:2">
      <c r="B1415" s="66" t="s">
        <v>310</v>
      </c>
    </row>
    <row r="1416" spans="2:2">
      <c r="B1416" s="66" t="s">
        <v>310</v>
      </c>
    </row>
    <row r="1417" spans="2:2">
      <c r="B1417" s="66" t="s">
        <v>310</v>
      </c>
    </row>
    <row r="1418" spans="2:2">
      <c r="B1418" s="66" t="s">
        <v>310</v>
      </c>
    </row>
    <row r="1419" spans="2:2">
      <c r="B1419" s="66" t="s">
        <v>310</v>
      </c>
    </row>
    <row r="1420" spans="2:2">
      <c r="B1420" s="66" t="s">
        <v>310</v>
      </c>
    </row>
    <row r="1421" spans="2:2">
      <c r="B1421" s="66" t="s">
        <v>310</v>
      </c>
    </row>
    <row r="1422" spans="2:2">
      <c r="B1422" s="66" t="s">
        <v>310</v>
      </c>
    </row>
    <row r="1423" spans="2:2">
      <c r="B1423" s="66" t="s">
        <v>310</v>
      </c>
    </row>
    <row r="1424" spans="2:2">
      <c r="B1424" s="66" t="s">
        <v>310</v>
      </c>
    </row>
    <row r="1425" spans="2:2">
      <c r="B1425" s="66" t="s">
        <v>310</v>
      </c>
    </row>
    <row r="1426" spans="2:2">
      <c r="B1426" s="66" t="s">
        <v>310</v>
      </c>
    </row>
    <row r="1427" spans="2:2">
      <c r="B1427" s="66" t="s">
        <v>310</v>
      </c>
    </row>
    <row r="1428" spans="2:2">
      <c r="B1428" s="66" t="s">
        <v>310</v>
      </c>
    </row>
    <row r="1429" spans="2:2">
      <c r="B1429" s="66" t="s">
        <v>310</v>
      </c>
    </row>
    <row r="1430" spans="2:2">
      <c r="B1430" s="66" t="s">
        <v>310</v>
      </c>
    </row>
    <row r="1431" spans="2:2">
      <c r="B1431" s="66" t="s">
        <v>310</v>
      </c>
    </row>
    <row r="1432" spans="2:2">
      <c r="B1432" s="66" t="s">
        <v>310</v>
      </c>
    </row>
    <row r="1433" spans="2:2">
      <c r="B1433" s="66" t="s">
        <v>310</v>
      </c>
    </row>
    <row r="1434" spans="2:2">
      <c r="B1434" s="66" t="s">
        <v>310</v>
      </c>
    </row>
    <row r="1435" spans="2:2">
      <c r="B1435" s="66" t="s">
        <v>310</v>
      </c>
    </row>
    <row r="1436" spans="2:2">
      <c r="B1436" s="66" t="s">
        <v>310</v>
      </c>
    </row>
    <row r="1437" spans="2:2">
      <c r="B1437" s="66" t="s">
        <v>310</v>
      </c>
    </row>
    <row r="1438" spans="2:2">
      <c r="B1438" s="66" t="s">
        <v>310</v>
      </c>
    </row>
    <row r="1439" spans="2:2">
      <c r="B1439" s="66" t="s">
        <v>310</v>
      </c>
    </row>
    <row r="1440" spans="2:2">
      <c r="B1440" s="66" t="s">
        <v>310</v>
      </c>
    </row>
    <row r="1441" spans="2:2">
      <c r="B1441" s="66" t="s">
        <v>310</v>
      </c>
    </row>
    <row r="1442" spans="2:2">
      <c r="B1442" s="66" t="s">
        <v>310</v>
      </c>
    </row>
    <row r="1443" spans="2:2">
      <c r="B1443" s="66" t="s">
        <v>310</v>
      </c>
    </row>
    <row r="1444" spans="2:2">
      <c r="B1444" s="66" t="s">
        <v>310</v>
      </c>
    </row>
    <row r="1445" spans="2:2">
      <c r="B1445" s="66" t="s">
        <v>310</v>
      </c>
    </row>
    <row r="1446" spans="2:2">
      <c r="B1446" s="66" t="s">
        <v>310</v>
      </c>
    </row>
    <row r="1447" spans="2:2">
      <c r="B1447" s="66" t="s">
        <v>310</v>
      </c>
    </row>
    <row r="1448" spans="2:2">
      <c r="B1448" s="66" t="s">
        <v>310</v>
      </c>
    </row>
    <row r="1449" spans="2:2">
      <c r="B1449" s="66" t="s">
        <v>310</v>
      </c>
    </row>
    <row r="1450" spans="2:2">
      <c r="B1450" s="66" t="s">
        <v>310</v>
      </c>
    </row>
    <row r="1451" spans="2:2">
      <c r="B1451" s="66" t="s">
        <v>310</v>
      </c>
    </row>
    <row r="1452" spans="2:2">
      <c r="B1452" s="66" t="s">
        <v>310</v>
      </c>
    </row>
    <row r="1453" spans="2:2">
      <c r="B1453" s="66" t="s">
        <v>310</v>
      </c>
    </row>
    <row r="1454" spans="2:2">
      <c r="B1454" s="66" t="s">
        <v>310</v>
      </c>
    </row>
    <row r="1455" spans="2:2">
      <c r="B1455" s="66" t="s">
        <v>310</v>
      </c>
    </row>
    <row r="1456" spans="2:2">
      <c r="B1456" s="66" t="s">
        <v>310</v>
      </c>
    </row>
    <row r="1457" spans="2:2">
      <c r="B1457" s="66" t="s">
        <v>310</v>
      </c>
    </row>
    <row r="1458" spans="2:2">
      <c r="B1458" s="66" t="s">
        <v>310</v>
      </c>
    </row>
    <row r="1459" spans="2:2">
      <c r="B1459" s="66" t="s">
        <v>310</v>
      </c>
    </row>
    <row r="1460" spans="2:2">
      <c r="B1460" s="66" t="s">
        <v>310</v>
      </c>
    </row>
    <row r="1461" spans="2:2">
      <c r="B1461" s="66" t="s">
        <v>310</v>
      </c>
    </row>
    <row r="1462" spans="2:2">
      <c r="B1462" s="66" t="s">
        <v>310</v>
      </c>
    </row>
    <row r="1463" spans="2:2">
      <c r="B1463" s="66" t="s">
        <v>310</v>
      </c>
    </row>
    <row r="1464" spans="2:2">
      <c r="B1464" s="66" t="s">
        <v>310</v>
      </c>
    </row>
    <row r="1465" spans="2:2">
      <c r="B1465" s="66" t="s">
        <v>310</v>
      </c>
    </row>
    <row r="1466" spans="2:2">
      <c r="B1466" s="66" t="s">
        <v>310</v>
      </c>
    </row>
    <row r="1467" spans="2:2">
      <c r="B1467" s="66" t="s">
        <v>310</v>
      </c>
    </row>
    <row r="1468" spans="2:2">
      <c r="B1468" s="66" t="s">
        <v>310</v>
      </c>
    </row>
    <row r="1469" spans="2:2">
      <c r="B1469" s="66" t="s">
        <v>310</v>
      </c>
    </row>
    <row r="1470" spans="2:2">
      <c r="B1470" s="66" t="s">
        <v>310</v>
      </c>
    </row>
    <row r="1471" spans="2:2">
      <c r="B1471" s="66" t="s">
        <v>310</v>
      </c>
    </row>
    <row r="1472" spans="2:2">
      <c r="B1472" s="66" t="s">
        <v>310</v>
      </c>
    </row>
    <row r="1473" spans="2:2">
      <c r="B1473" s="66" t="s">
        <v>310</v>
      </c>
    </row>
    <row r="1474" spans="2:2">
      <c r="B1474" s="66" t="s">
        <v>310</v>
      </c>
    </row>
    <row r="1475" spans="2:2">
      <c r="B1475" s="66" t="s">
        <v>310</v>
      </c>
    </row>
    <row r="1476" spans="2:2">
      <c r="B1476" s="66" t="s">
        <v>310</v>
      </c>
    </row>
    <row r="1477" spans="2:2">
      <c r="B1477" s="66" t="s">
        <v>310</v>
      </c>
    </row>
    <row r="1478" spans="2:2">
      <c r="B1478" s="66" t="s">
        <v>310</v>
      </c>
    </row>
    <row r="1479" spans="2:2">
      <c r="B1479" s="66" t="s">
        <v>310</v>
      </c>
    </row>
    <row r="1480" spans="2:2">
      <c r="B1480" s="66" t="s">
        <v>310</v>
      </c>
    </row>
    <row r="1481" spans="2:2">
      <c r="B1481" s="66" t="s">
        <v>310</v>
      </c>
    </row>
    <row r="1482" spans="2:2">
      <c r="B1482" s="66" t="s">
        <v>310</v>
      </c>
    </row>
    <row r="1483" spans="2:2">
      <c r="B1483" s="66" t="s">
        <v>310</v>
      </c>
    </row>
    <row r="1484" spans="2:2">
      <c r="B1484" s="66" t="s">
        <v>310</v>
      </c>
    </row>
    <row r="1485" spans="2:2">
      <c r="B1485" s="66" t="s">
        <v>310</v>
      </c>
    </row>
    <row r="1486" spans="2:2">
      <c r="B1486" s="66" t="s">
        <v>310</v>
      </c>
    </row>
    <row r="1487" spans="2:2">
      <c r="B1487" s="66" t="s">
        <v>310</v>
      </c>
    </row>
    <row r="1488" spans="2:2">
      <c r="B1488" s="66" t="s">
        <v>310</v>
      </c>
    </row>
    <row r="1489" spans="2:2">
      <c r="B1489" s="66" t="s">
        <v>310</v>
      </c>
    </row>
    <row r="1490" spans="2:2">
      <c r="B1490" s="66" t="s">
        <v>310</v>
      </c>
    </row>
    <row r="1491" spans="2:2">
      <c r="B1491" s="66" t="s">
        <v>310</v>
      </c>
    </row>
    <row r="1492" spans="2:2">
      <c r="B1492" s="66" t="s">
        <v>310</v>
      </c>
    </row>
    <row r="1493" spans="2:2">
      <c r="B1493" s="66" t="s">
        <v>310</v>
      </c>
    </row>
    <row r="1494" spans="2:2">
      <c r="B1494" s="66" t="s">
        <v>310</v>
      </c>
    </row>
    <row r="1495" spans="2:2">
      <c r="B1495" s="66" t="s">
        <v>310</v>
      </c>
    </row>
    <row r="1496" spans="2:2">
      <c r="B1496" s="66" t="s">
        <v>310</v>
      </c>
    </row>
    <row r="1497" spans="2:2">
      <c r="B1497" s="66" t="s">
        <v>310</v>
      </c>
    </row>
    <row r="1498" spans="2:2">
      <c r="B1498" s="66" t="s">
        <v>310</v>
      </c>
    </row>
    <row r="1499" spans="2:2">
      <c r="B1499" s="66" t="s">
        <v>310</v>
      </c>
    </row>
    <row r="1500" spans="2:2">
      <c r="B1500" s="66" t="s">
        <v>310</v>
      </c>
    </row>
    <row r="1501" spans="2:2">
      <c r="B1501" s="66" t="s">
        <v>310</v>
      </c>
    </row>
    <row r="1502" spans="2:2">
      <c r="B1502" s="66" t="s">
        <v>310</v>
      </c>
    </row>
    <row r="1503" spans="2:2">
      <c r="B1503" s="66" t="s">
        <v>310</v>
      </c>
    </row>
    <row r="1504" spans="2:2">
      <c r="B1504" s="66" t="s">
        <v>310</v>
      </c>
    </row>
    <row r="1505" spans="2:2">
      <c r="B1505" s="66" t="s">
        <v>310</v>
      </c>
    </row>
    <row r="1506" spans="2:2">
      <c r="B1506" s="66" t="s">
        <v>310</v>
      </c>
    </row>
    <row r="1507" spans="2:2">
      <c r="B1507" s="66" t="s">
        <v>310</v>
      </c>
    </row>
    <row r="1508" spans="2:2">
      <c r="B1508" s="66" t="s">
        <v>310</v>
      </c>
    </row>
    <row r="1509" spans="2:2">
      <c r="B1509" s="66" t="s">
        <v>310</v>
      </c>
    </row>
    <row r="1510" spans="2:2">
      <c r="B1510" s="66" t="s">
        <v>310</v>
      </c>
    </row>
    <row r="1511" spans="2:2">
      <c r="B1511" s="66" t="s">
        <v>310</v>
      </c>
    </row>
    <row r="1512" spans="2:2">
      <c r="B1512" s="66" t="s">
        <v>310</v>
      </c>
    </row>
    <row r="1513" spans="2:2">
      <c r="B1513" s="66" t="s">
        <v>310</v>
      </c>
    </row>
    <row r="1514" spans="2:2">
      <c r="B1514" s="66" t="s">
        <v>310</v>
      </c>
    </row>
    <row r="1515" spans="2:2">
      <c r="B1515" s="66" t="s">
        <v>310</v>
      </c>
    </row>
    <row r="1516" spans="2:2">
      <c r="B1516" s="66" t="s">
        <v>310</v>
      </c>
    </row>
    <row r="1517" spans="2:2">
      <c r="B1517" s="66" t="s">
        <v>310</v>
      </c>
    </row>
    <row r="1518" spans="2:2">
      <c r="B1518" s="66" t="s">
        <v>310</v>
      </c>
    </row>
    <row r="1519" spans="2:2">
      <c r="B1519" s="66" t="s">
        <v>310</v>
      </c>
    </row>
    <row r="1520" spans="2:2">
      <c r="B1520" s="66" t="s">
        <v>310</v>
      </c>
    </row>
    <row r="1521" spans="2:2">
      <c r="B1521" s="66" t="s">
        <v>310</v>
      </c>
    </row>
    <row r="1522" spans="2:2">
      <c r="B1522" s="66" t="s">
        <v>310</v>
      </c>
    </row>
    <row r="1523" spans="2:2">
      <c r="B1523" s="66" t="s">
        <v>310</v>
      </c>
    </row>
    <row r="1524" spans="2:2">
      <c r="B1524" s="66" t="s">
        <v>310</v>
      </c>
    </row>
    <row r="1525" spans="2:2">
      <c r="B1525" s="66" t="s">
        <v>310</v>
      </c>
    </row>
    <row r="1526" spans="2:2">
      <c r="B1526" s="66" t="s">
        <v>310</v>
      </c>
    </row>
    <row r="1527" spans="2:2">
      <c r="B1527" s="66" t="s">
        <v>310</v>
      </c>
    </row>
    <row r="1528" spans="2:2">
      <c r="B1528" s="66" t="s">
        <v>310</v>
      </c>
    </row>
    <row r="1529" spans="2:2">
      <c r="B1529" s="66" t="s">
        <v>310</v>
      </c>
    </row>
    <row r="1530" spans="2:2">
      <c r="B1530" s="66" t="s">
        <v>310</v>
      </c>
    </row>
    <row r="1531" spans="2:2">
      <c r="B1531" s="66" t="s">
        <v>310</v>
      </c>
    </row>
    <row r="1532" spans="2:2">
      <c r="B1532" s="66" t="s">
        <v>310</v>
      </c>
    </row>
    <row r="1533" spans="2:2">
      <c r="B1533" s="66" t="s">
        <v>310</v>
      </c>
    </row>
    <row r="1534" spans="2:2">
      <c r="B1534" s="66" t="s">
        <v>310</v>
      </c>
    </row>
    <row r="1535" spans="2:2">
      <c r="B1535" s="66" t="s">
        <v>310</v>
      </c>
    </row>
    <row r="1536" spans="2:2">
      <c r="B1536" s="66" t="s">
        <v>310</v>
      </c>
    </row>
    <row r="1537" spans="2:2">
      <c r="B1537" s="66" t="s">
        <v>310</v>
      </c>
    </row>
    <row r="1538" spans="2:2">
      <c r="B1538" s="66" t="s">
        <v>310</v>
      </c>
    </row>
    <row r="1539" spans="2:2">
      <c r="B1539" s="66" t="s">
        <v>310</v>
      </c>
    </row>
    <row r="1540" spans="2:2">
      <c r="B1540" s="66" t="s">
        <v>310</v>
      </c>
    </row>
    <row r="1541" spans="2:2">
      <c r="B1541" s="66" t="s">
        <v>310</v>
      </c>
    </row>
    <row r="1542" spans="2:2">
      <c r="B1542" s="66" t="s">
        <v>310</v>
      </c>
    </row>
  </sheetData>
  <sheetProtection selectLockedCells="1" selectUnlockedCells="1"/>
  <sortState xmlns:xlrd2="http://schemas.microsoft.com/office/spreadsheetml/2017/richdata2" ref="B2:J177">
    <sortCondition ref="D2:D177"/>
    <sortCondition ref="B2:B177"/>
  </sortState>
  <pageMargins left="0.7" right="0.7" top="0.75" bottom="0.75" header="0.3" footer="0.3"/>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162"/>
  <sheetViews>
    <sheetView showGridLines="0" topLeftCell="A64" zoomScale="125" zoomScaleNormal="125" zoomScalePageLayoutView="125" workbookViewId="0"/>
  </sheetViews>
  <sheetFormatPr baseColWidth="10" defaultColWidth="8.83203125" defaultRowHeight="15"/>
  <cols>
    <col min="1" max="16384" width="8.83203125" style="66"/>
  </cols>
  <sheetData>
    <row r="1" spans="1:1">
      <c r="A1" s="71" t="s">
        <v>462</v>
      </c>
    </row>
    <row r="2" spans="1:1" ht="28">
      <c r="A2" s="72" t="s">
        <v>338</v>
      </c>
    </row>
    <row r="3" spans="1:1">
      <c r="A3" s="73" t="s">
        <v>373</v>
      </c>
    </row>
    <row r="4" spans="1:1">
      <c r="A4" s="69"/>
    </row>
    <row r="5" spans="1:1">
      <c r="A5" s="74" t="s">
        <v>339</v>
      </c>
    </row>
    <row r="6" spans="1:1">
      <c r="A6" s="73" t="s">
        <v>374</v>
      </c>
    </row>
    <row r="7" spans="1:1">
      <c r="A7" s="73" t="s">
        <v>375</v>
      </c>
    </row>
    <row r="8" spans="1:1">
      <c r="A8" s="73" t="s">
        <v>387</v>
      </c>
    </row>
    <row r="9" spans="1:1">
      <c r="A9" s="73" t="s">
        <v>388</v>
      </c>
    </row>
    <row r="10" spans="1:1">
      <c r="A10" s="73" t="s">
        <v>376</v>
      </c>
    </row>
    <row r="11" spans="1:1">
      <c r="A11" s="73"/>
    </row>
    <row r="12" spans="1:1">
      <c r="A12" s="74" t="s">
        <v>340</v>
      </c>
    </row>
    <row r="13" spans="1:1">
      <c r="A13" s="73" t="s">
        <v>377</v>
      </c>
    </row>
    <row r="14" spans="1:1">
      <c r="A14" s="73" t="s">
        <v>378</v>
      </c>
    </row>
    <row r="15" spans="1:1">
      <c r="A15" s="69"/>
    </row>
    <row r="16" spans="1:1">
      <c r="A16" s="74" t="s">
        <v>341</v>
      </c>
    </row>
    <row r="17" spans="1:1">
      <c r="A17" s="75" t="s">
        <v>379</v>
      </c>
    </row>
    <row r="18" spans="1:1">
      <c r="A18" s="76"/>
    </row>
    <row r="19" spans="1:1">
      <c r="A19" s="75" t="s">
        <v>380</v>
      </c>
    </row>
    <row r="20" spans="1:1">
      <c r="A20" s="75" t="s">
        <v>381</v>
      </c>
    </row>
    <row r="21" spans="1:1">
      <c r="A21" s="75" t="s">
        <v>382</v>
      </c>
    </row>
    <row r="22" spans="1:1">
      <c r="A22" s="76"/>
    </row>
    <row r="23" spans="1:1">
      <c r="A23" s="75" t="s">
        <v>383</v>
      </c>
    </row>
    <row r="24" spans="1:1">
      <c r="A24" s="75" t="s">
        <v>384</v>
      </c>
    </row>
    <row r="25" spans="1:1">
      <c r="A25" s="76"/>
    </row>
    <row r="26" spans="1:1">
      <c r="A26" s="75" t="s">
        <v>342</v>
      </c>
    </row>
    <row r="27" spans="1:1">
      <c r="A27" s="76"/>
    </row>
    <row r="28" spans="1:1">
      <c r="A28" s="75" t="s">
        <v>389</v>
      </c>
    </row>
    <row r="29" spans="1:1">
      <c r="A29" s="75" t="s">
        <v>390</v>
      </c>
    </row>
    <row r="30" spans="1:1">
      <c r="A30" s="69"/>
    </row>
    <row r="31" spans="1:1">
      <c r="A31" s="74" t="s">
        <v>343</v>
      </c>
    </row>
    <row r="32" spans="1:1">
      <c r="A32" s="75" t="s">
        <v>344</v>
      </c>
    </row>
    <row r="33" spans="1:1">
      <c r="A33" s="77" t="s">
        <v>385</v>
      </c>
    </row>
    <row r="34" spans="1:1">
      <c r="A34" s="77" t="s">
        <v>386</v>
      </c>
    </row>
    <row r="35" spans="1:1">
      <c r="A35" s="76"/>
    </row>
    <row r="36" spans="1:1">
      <c r="A36" s="77" t="s">
        <v>345</v>
      </c>
    </row>
    <row r="37" spans="1:1">
      <c r="A37" s="76"/>
    </row>
    <row r="38" spans="1:1">
      <c r="A38" s="77" t="s">
        <v>391</v>
      </c>
    </row>
    <row r="39" spans="1:1">
      <c r="A39" s="77" t="s">
        <v>392</v>
      </c>
    </row>
    <row r="40" spans="1:1">
      <c r="A40" s="76"/>
    </row>
    <row r="41" spans="1:1">
      <c r="A41" s="75" t="s">
        <v>346</v>
      </c>
    </row>
    <row r="42" spans="1:1">
      <c r="A42" s="77" t="s">
        <v>347</v>
      </c>
    </row>
    <row r="43" spans="1:1">
      <c r="A43" s="76"/>
    </row>
    <row r="44" spans="1:1">
      <c r="A44" s="77" t="s">
        <v>348</v>
      </c>
    </row>
    <row r="45" spans="1:1">
      <c r="A45" s="76"/>
    </row>
    <row r="46" spans="1:1">
      <c r="A46" s="77" t="s">
        <v>349</v>
      </c>
    </row>
    <row r="47" spans="1:1">
      <c r="A47" s="76"/>
    </row>
    <row r="48" spans="1:1">
      <c r="A48" s="77" t="s">
        <v>393</v>
      </c>
    </row>
    <row r="49" spans="1:1">
      <c r="A49" s="77" t="s">
        <v>394</v>
      </c>
    </row>
    <row r="50" spans="1:1">
      <c r="A50" s="76"/>
    </row>
    <row r="51" spans="1:1">
      <c r="A51" s="77" t="s">
        <v>350</v>
      </c>
    </row>
    <row r="52" spans="1:1">
      <c r="A52" s="76"/>
    </row>
    <row r="53" spans="1:1">
      <c r="A53" s="77" t="s">
        <v>351</v>
      </c>
    </row>
    <row r="54" spans="1:1">
      <c r="A54" s="76"/>
    </row>
    <row r="55" spans="1:1">
      <c r="A55" s="77" t="s">
        <v>352</v>
      </c>
    </row>
    <row r="56" spans="1:1">
      <c r="A56" s="69"/>
    </row>
    <row r="57" spans="1:1">
      <c r="A57" s="74" t="s">
        <v>353</v>
      </c>
    </row>
    <row r="58" spans="1:1">
      <c r="A58" s="75" t="s">
        <v>395</v>
      </c>
    </row>
    <row r="59" spans="1:1">
      <c r="A59" s="75" t="s">
        <v>396</v>
      </c>
    </row>
    <row r="60" spans="1:1">
      <c r="A60" s="75" t="s">
        <v>397</v>
      </c>
    </row>
    <row r="61" spans="1:1">
      <c r="A61" s="76"/>
    </row>
    <row r="62" spans="1:1">
      <c r="A62" s="75" t="s">
        <v>398</v>
      </c>
    </row>
    <row r="63" spans="1:1">
      <c r="A63" s="75" t="s">
        <v>399</v>
      </c>
    </row>
    <row r="64" spans="1:1">
      <c r="A64" s="75" t="s">
        <v>400</v>
      </c>
    </row>
    <row r="65" spans="1:1">
      <c r="A65" s="75" t="s">
        <v>401</v>
      </c>
    </row>
    <row r="66" spans="1:1">
      <c r="A66" s="76" t="s">
        <v>447</v>
      </c>
    </row>
    <row r="67" spans="1:1">
      <c r="A67" s="76" t="s">
        <v>448</v>
      </c>
    </row>
    <row r="68" spans="1:1">
      <c r="A68" s="76" t="s">
        <v>449</v>
      </c>
    </row>
    <row r="69" spans="1:1">
      <c r="A69" s="76" t="s">
        <v>450</v>
      </c>
    </row>
    <row r="70" spans="1:1">
      <c r="A70" s="76"/>
    </row>
    <row r="71" spans="1:1">
      <c r="A71" s="75" t="s">
        <v>402</v>
      </c>
    </row>
    <row r="72" spans="1:1">
      <c r="A72" s="75" t="s">
        <v>403</v>
      </c>
    </row>
    <row r="73" spans="1:1">
      <c r="A73" s="75"/>
    </row>
    <row r="74" spans="1:1">
      <c r="A74" s="75" t="s">
        <v>354</v>
      </c>
    </row>
    <row r="75" spans="1:1">
      <c r="A75" s="77" t="s">
        <v>355</v>
      </c>
    </row>
    <row r="76" spans="1:1">
      <c r="A76" s="76"/>
    </row>
    <row r="77" spans="1:1">
      <c r="A77" s="77" t="s">
        <v>356</v>
      </c>
    </row>
    <row r="78" spans="1:1">
      <c r="A78" s="76"/>
    </row>
    <row r="79" spans="1:1">
      <c r="A79" s="77" t="s">
        <v>357</v>
      </c>
    </row>
    <row r="80" spans="1:1">
      <c r="A80" s="76"/>
    </row>
    <row r="81" spans="1:1">
      <c r="A81" s="77" t="s">
        <v>404</v>
      </c>
    </row>
    <row r="82" spans="1:1">
      <c r="A82" s="77" t="s">
        <v>405</v>
      </c>
    </row>
    <row r="83" spans="1:1">
      <c r="A83" s="69"/>
    </row>
    <row r="84" spans="1:1">
      <c r="A84" s="74" t="s">
        <v>358</v>
      </c>
    </row>
    <row r="85" spans="1:1">
      <c r="A85" s="75" t="s">
        <v>406</v>
      </c>
    </row>
    <row r="86" spans="1:1">
      <c r="A86" s="75" t="s">
        <v>451</v>
      </c>
    </row>
    <row r="87" spans="1:1">
      <c r="A87" s="75" t="s">
        <v>452</v>
      </c>
    </row>
    <row r="88" spans="1:1">
      <c r="A88" s="75" t="s">
        <v>453</v>
      </c>
    </row>
    <row r="89" spans="1:1">
      <c r="A89" s="75" t="s">
        <v>454</v>
      </c>
    </row>
    <row r="90" spans="1:1">
      <c r="A90" s="75" t="s">
        <v>455</v>
      </c>
    </row>
    <row r="91" spans="1:1">
      <c r="A91" s="75" t="s">
        <v>456</v>
      </c>
    </row>
    <row r="92" spans="1:1">
      <c r="A92" s="75" t="s">
        <v>457</v>
      </c>
    </row>
    <row r="93" spans="1:1">
      <c r="A93" s="76"/>
    </row>
    <row r="94" spans="1:1">
      <c r="A94" s="75" t="s">
        <v>407</v>
      </c>
    </row>
    <row r="95" spans="1:1">
      <c r="A95" s="75" t="s">
        <v>408</v>
      </c>
    </row>
    <row r="96" spans="1:1">
      <c r="A96" s="75" t="s">
        <v>409</v>
      </c>
    </row>
    <row r="97" spans="1:1">
      <c r="A97" s="75" t="s">
        <v>410</v>
      </c>
    </row>
    <row r="98" spans="1:1">
      <c r="A98" s="75" t="s">
        <v>411</v>
      </c>
    </row>
    <row r="99" spans="1:1">
      <c r="A99" s="75"/>
    </row>
    <row r="100" spans="1:1">
      <c r="A100" s="75" t="s">
        <v>359</v>
      </c>
    </row>
    <row r="101" spans="1:1">
      <c r="A101" s="69"/>
    </row>
    <row r="102" spans="1:1">
      <c r="A102" s="74" t="s">
        <v>360</v>
      </c>
    </row>
    <row r="103" spans="1:1">
      <c r="A103" s="75" t="s">
        <v>412</v>
      </c>
    </row>
    <row r="104" spans="1:1">
      <c r="A104" s="75" t="s">
        <v>413</v>
      </c>
    </row>
    <row r="105" spans="1:1">
      <c r="A105" s="75" t="s">
        <v>414</v>
      </c>
    </row>
    <row r="106" spans="1:1">
      <c r="A106" s="75" t="s">
        <v>415</v>
      </c>
    </row>
    <row r="107" spans="1:1">
      <c r="A107" s="75" t="s">
        <v>416</v>
      </c>
    </row>
    <row r="108" spans="1:1">
      <c r="A108" s="76"/>
    </row>
    <row r="109" spans="1:1">
      <c r="A109" s="75" t="s">
        <v>361</v>
      </c>
    </row>
    <row r="110" spans="1:1">
      <c r="A110" s="69"/>
    </row>
    <row r="111" spans="1:1">
      <c r="A111" s="74" t="s">
        <v>362</v>
      </c>
    </row>
    <row r="112" spans="1:1">
      <c r="A112" s="73" t="s">
        <v>417</v>
      </c>
    </row>
    <row r="113" spans="1:1">
      <c r="A113" s="73" t="s">
        <v>418</v>
      </c>
    </row>
    <row r="114" spans="1:1">
      <c r="A114" s="73" t="s">
        <v>419</v>
      </c>
    </row>
    <row r="115" spans="1:1">
      <c r="A115" s="73" t="s">
        <v>420</v>
      </c>
    </row>
    <row r="116" spans="1:1">
      <c r="A116" s="69"/>
    </row>
    <row r="117" spans="1:1">
      <c r="A117" s="74" t="s">
        <v>363</v>
      </c>
    </row>
    <row r="118" spans="1:1">
      <c r="A118" s="73" t="s">
        <v>421</v>
      </c>
    </row>
    <row r="119" spans="1:1">
      <c r="A119" s="73" t="s">
        <v>422</v>
      </c>
    </row>
    <row r="120" spans="1:1">
      <c r="A120" s="69"/>
    </row>
    <row r="121" spans="1:1">
      <c r="A121" s="74" t="s">
        <v>364</v>
      </c>
    </row>
    <row r="122" spans="1:1">
      <c r="A122" s="73" t="s">
        <v>423</v>
      </c>
    </row>
    <row r="123" spans="1:1">
      <c r="A123" s="73" t="s">
        <v>424</v>
      </c>
    </row>
    <row r="124" spans="1:1">
      <c r="A124" s="69"/>
    </row>
    <row r="125" spans="1:1">
      <c r="A125" s="74" t="s">
        <v>365</v>
      </c>
    </row>
    <row r="126" spans="1:1">
      <c r="A126" s="73" t="s">
        <v>425</v>
      </c>
    </row>
    <row r="127" spans="1:1">
      <c r="A127" s="73" t="s">
        <v>426</v>
      </c>
    </row>
    <row r="128" spans="1:1">
      <c r="A128" s="73" t="s">
        <v>427</v>
      </c>
    </row>
    <row r="129" spans="1:1">
      <c r="A129" s="69"/>
    </row>
    <row r="130" spans="1:1">
      <c r="A130" s="74" t="s">
        <v>366</v>
      </c>
    </row>
    <row r="131" spans="1:1">
      <c r="A131" s="73" t="s">
        <v>428</v>
      </c>
    </row>
    <row r="132" spans="1:1">
      <c r="A132" s="73" t="s">
        <v>429</v>
      </c>
    </row>
    <row r="133" spans="1:1">
      <c r="A133" s="73" t="s">
        <v>430</v>
      </c>
    </row>
    <row r="134" spans="1:1">
      <c r="A134" s="69"/>
    </row>
    <row r="135" spans="1:1">
      <c r="A135" s="74" t="s">
        <v>367</v>
      </c>
    </row>
    <row r="136" spans="1:1">
      <c r="A136" s="73" t="s">
        <v>431</v>
      </c>
    </row>
    <row r="137" spans="1:1">
      <c r="A137" s="73" t="s">
        <v>432</v>
      </c>
    </row>
    <row r="138" spans="1:1">
      <c r="A138" s="73" t="s">
        <v>433</v>
      </c>
    </row>
    <row r="139" spans="1:1">
      <c r="A139" s="69"/>
    </row>
    <row r="140" spans="1:1">
      <c r="A140" s="74" t="s">
        <v>368</v>
      </c>
    </row>
    <row r="141" spans="1:1">
      <c r="A141" s="73" t="s">
        <v>434</v>
      </c>
    </row>
    <row r="142" spans="1:1">
      <c r="A142" s="73" t="s">
        <v>435</v>
      </c>
    </row>
    <row r="143" spans="1:1">
      <c r="A143" s="73" t="s">
        <v>436</v>
      </c>
    </row>
    <row r="144" spans="1:1">
      <c r="A144" s="69"/>
    </row>
    <row r="145" spans="1:1">
      <c r="A145" s="74" t="s">
        <v>369</v>
      </c>
    </row>
    <row r="146" spans="1:1">
      <c r="A146" s="73" t="s">
        <v>437</v>
      </c>
    </row>
    <row r="147" spans="1:1">
      <c r="A147" s="73" t="s">
        <v>438</v>
      </c>
    </row>
    <row r="148" spans="1:1">
      <c r="A148" s="69"/>
    </row>
    <row r="149" spans="1:1">
      <c r="A149" s="74" t="s">
        <v>370</v>
      </c>
    </row>
    <row r="150" spans="1:1">
      <c r="A150" s="73" t="s">
        <v>439</v>
      </c>
    </row>
    <row r="151" spans="1:1">
      <c r="A151" s="73" t="s">
        <v>440</v>
      </c>
    </row>
    <row r="152" spans="1:1">
      <c r="A152" s="73" t="s">
        <v>441</v>
      </c>
    </row>
    <row r="153" spans="1:1">
      <c r="A153" s="73" t="s">
        <v>442</v>
      </c>
    </row>
    <row r="154" spans="1:1">
      <c r="A154" s="69"/>
    </row>
    <row r="155" spans="1:1">
      <c r="A155" s="74" t="s">
        <v>371</v>
      </c>
    </row>
    <row r="156" spans="1:1">
      <c r="A156" s="78" t="s">
        <v>443</v>
      </c>
    </row>
    <row r="157" spans="1:1">
      <c r="A157" s="78" t="s">
        <v>444</v>
      </c>
    </row>
    <row r="158" spans="1:1">
      <c r="A158" s="76"/>
    </row>
    <row r="159" spans="1:1">
      <c r="A159" s="78" t="s">
        <v>445</v>
      </c>
    </row>
    <row r="160" spans="1:1">
      <c r="A160" s="78" t="s">
        <v>446</v>
      </c>
    </row>
    <row r="161" spans="1:1">
      <c r="A161" s="69"/>
    </row>
    <row r="162" spans="1:1">
      <c r="A162" s="73" t="s">
        <v>372</v>
      </c>
    </row>
  </sheetData>
  <sheetProtection algorithmName="SHA-512" hashValue="BmtMQ2OqCJSzW44f1Zz4JMFZ9qoZmE29sE0mQfwvmOifRSVOJmw6B0WbpYZaS30tNFcTFqwEd0u0fcmnohHbNg==" saltValue="gBO2pZP9tJJ3o7Lta+AFQQ==" spinCount="100000" sheet="1" selectLockedCells="1"/>
  <hyperlinks>
    <hyperlink ref="A156" r:id="rId1" display="mailto:newdigs@mit.edu" xr:uid="{00000000-0004-0000-0400-000000000000}"/>
    <hyperlink ref="A159" r:id="rId2" display="mailto:newdigs@mit.edu" xr:uid="{00000000-0004-0000-0400-000001000000}"/>
  </hyperlinks>
  <pageMargins left="0.7" right="0.7" top="0.75" bottom="0.75" header="0.3" footer="0.3"/>
  <pageSetup scale="56" fitToHeight="0" orientation="portrait"/>
  <headerFooter>
    <oddFooter>&amp;CSubject to Terms
MIT CENTER FOR BIOMEDICAL INNOVATION
NEWDIGS/FoCUS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61"/>
  <sheetViews>
    <sheetView showGridLines="0" zoomScaleNormal="100" zoomScalePageLayoutView="125" workbookViewId="0">
      <selection activeCell="A31" sqref="A31:I31"/>
    </sheetView>
  </sheetViews>
  <sheetFormatPr baseColWidth="10" defaultColWidth="8.83203125" defaultRowHeight="15"/>
  <cols>
    <col min="3" max="3" width="10.5" customWidth="1"/>
    <col min="6" max="9" width="8.83203125" style="63"/>
    <col min="13" max="13" width="14.1640625" customWidth="1"/>
  </cols>
  <sheetData>
    <row r="1" spans="1:18" ht="19">
      <c r="A1" s="19" t="s">
        <v>335</v>
      </c>
    </row>
    <row r="2" spans="1:18" s="63" customFormat="1">
      <c r="A2" s="131" t="s">
        <v>2392</v>
      </c>
    </row>
    <row r="3" spans="1:18" s="63" customFormat="1">
      <c r="A3" s="131" t="s">
        <v>2408</v>
      </c>
    </row>
    <row r="4" spans="1:18" s="63" customFormat="1">
      <c r="A4" s="131" t="s">
        <v>2393</v>
      </c>
    </row>
    <row r="5" spans="1:18">
      <c r="A5" s="63"/>
      <c r="B5" t="s">
        <v>2380</v>
      </c>
    </row>
    <row r="6" spans="1:18">
      <c r="A6" s="63"/>
      <c r="B6" t="s">
        <v>2394</v>
      </c>
    </row>
    <row r="7" spans="1:18">
      <c r="A7" s="63"/>
      <c r="B7" t="s">
        <v>2381</v>
      </c>
    </row>
    <row r="8" spans="1:18">
      <c r="B8" t="s">
        <v>2395</v>
      </c>
    </row>
    <row r="9" spans="1:18" s="63" customFormat="1"/>
    <row r="10" spans="1:18" s="66" customFormat="1">
      <c r="A10" s="65" t="s">
        <v>336</v>
      </c>
    </row>
    <row r="11" spans="1:18" s="66" customFormat="1">
      <c r="A11" s="67" t="s">
        <v>337</v>
      </c>
    </row>
    <row r="12" spans="1:18" s="66" customFormat="1">
      <c r="A12" s="67"/>
    </row>
    <row r="13" spans="1:18" s="66" customFormat="1">
      <c r="A13" s="67" t="s">
        <v>1451</v>
      </c>
      <c r="B13" s="70"/>
    </row>
    <row r="14" spans="1:18" s="66" customFormat="1">
      <c r="A14" s="66" t="s">
        <v>469</v>
      </c>
    </row>
    <row r="15" spans="1:18" s="63" customFormat="1">
      <c r="A15" s="87" t="s">
        <v>1453</v>
      </c>
      <c r="B15" s="66"/>
      <c r="C15" s="66"/>
      <c r="D15" s="66"/>
      <c r="E15" s="66"/>
      <c r="F15" s="66"/>
      <c r="G15" s="66"/>
      <c r="H15" s="66"/>
      <c r="I15" s="66"/>
      <c r="J15" s="66"/>
      <c r="K15" s="66"/>
      <c r="L15" s="66"/>
      <c r="M15" s="66"/>
      <c r="N15" s="66"/>
      <c r="O15" s="66"/>
    </row>
    <row r="16" spans="1:18" s="63" customFormat="1">
      <c r="A16" s="17" t="s">
        <v>1452</v>
      </c>
      <c r="K16" s="66"/>
      <c r="L16" s="66"/>
      <c r="M16" s="66"/>
      <c r="N16" s="66"/>
      <c r="O16" s="66"/>
      <c r="P16" s="66"/>
      <c r="Q16" s="66"/>
      <c r="R16" s="66"/>
    </row>
    <row r="17" spans="1:18" s="63" customFormat="1">
      <c r="A17" s="17"/>
      <c r="L17" s="66"/>
      <c r="M17" s="66"/>
      <c r="N17" s="66"/>
      <c r="O17" s="66"/>
      <c r="P17" s="66"/>
      <c r="Q17" s="66"/>
      <c r="R17" s="66"/>
    </row>
    <row r="18" spans="1:18" s="63" customFormat="1" ht="19">
      <c r="A18" s="19" t="s">
        <v>2396</v>
      </c>
    </row>
    <row r="19" spans="1:18" s="63" customFormat="1">
      <c r="A19" s="63" t="s">
        <v>2382</v>
      </c>
    </row>
    <row r="20" spans="1:18" s="63" customFormat="1"/>
    <row r="21" spans="1:18" s="63" customFormat="1"/>
    <row r="22" spans="1:18" s="63" customFormat="1"/>
    <row r="23" spans="1:18" s="63" customFormat="1"/>
    <row r="24" spans="1:18" s="63" customFormat="1"/>
    <row r="25" spans="1:18" s="63" customFormat="1"/>
    <row r="26" spans="1:18" s="63" customFormat="1"/>
    <row r="27" spans="1:18" ht="44.25" customHeight="1">
      <c r="A27" s="476" t="s">
        <v>2409</v>
      </c>
      <c r="B27" s="476"/>
      <c r="C27" s="476"/>
      <c r="D27" s="476"/>
      <c r="E27" s="476"/>
      <c r="F27" s="476"/>
      <c r="G27" s="476"/>
      <c r="H27" s="476"/>
      <c r="I27" s="476"/>
      <c r="J27" s="476"/>
      <c r="K27" s="476"/>
      <c r="L27" s="476"/>
      <c r="M27" s="476"/>
      <c r="N27" s="476"/>
      <c r="O27" s="476"/>
      <c r="P27" s="476"/>
      <c r="Q27" s="476"/>
    </row>
    <row r="28" spans="1:18" s="63" customFormat="1" ht="14.25" customHeight="1">
      <c r="A28"/>
      <c r="B28"/>
      <c r="C28"/>
      <c r="D28"/>
      <c r="E28"/>
      <c r="J28"/>
      <c r="K28"/>
      <c r="L28"/>
      <c r="M28"/>
      <c r="N28"/>
      <c r="O28"/>
      <c r="P28" s="85"/>
    </row>
    <row r="29" spans="1:18" s="63" customFormat="1" ht="19.5" customHeight="1">
      <c r="A29" s="396"/>
      <c r="B29" s="396"/>
      <c r="C29" s="396"/>
      <c r="D29" s="396"/>
      <c r="E29" s="396"/>
      <c r="F29" s="396"/>
      <c r="G29" s="396"/>
      <c r="H29" s="396"/>
      <c r="I29" s="396"/>
      <c r="J29" s="484" t="s">
        <v>2403</v>
      </c>
      <c r="K29" s="484"/>
      <c r="L29" s="484"/>
      <c r="M29" s="484"/>
      <c r="N29" s="484"/>
      <c r="O29" s="484"/>
      <c r="P29" s="396"/>
    </row>
    <row r="30" spans="1:18" ht="16">
      <c r="A30" s="485" t="s">
        <v>2402</v>
      </c>
      <c r="B30" s="485"/>
      <c r="C30" s="485"/>
      <c r="D30" s="485"/>
      <c r="E30" s="485"/>
      <c r="F30" s="400"/>
      <c r="G30" s="400"/>
      <c r="H30" s="400"/>
      <c r="I30" s="400"/>
      <c r="J30" s="483" t="s">
        <v>2406</v>
      </c>
      <c r="K30" s="483"/>
      <c r="L30" s="483"/>
      <c r="M30" s="483"/>
      <c r="N30" s="483"/>
      <c r="O30" s="483"/>
    </row>
    <row r="31" spans="1:18" s="66" customFormat="1" ht="75" customHeight="1">
      <c r="A31" s="477" t="s">
        <v>2398</v>
      </c>
      <c r="B31" s="478"/>
      <c r="C31" s="478"/>
      <c r="D31" s="478"/>
      <c r="E31" s="478"/>
      <c r="F31" s="478"/>
      <c r="G31" s="478"/>
      <c r="H31" s="478"/>
      <c r="I31" s="479"/>
      <c r="J31" s="482" t="s">
        <v>2404</v>
      </c>
      <c r="K31" s="482"/>
      <c r="L31" s="482"/>
      <c r="M31" s="482"/>
      <c r="N31" s="482"/>
      <c r="O31" s="482"/>
    </row>
    <row r="32" spans="1:18" s="63" customFormat="1" ht="76.5" customHeight="1">
      <c r="A32" s="477" t="s">
        <v>2399</v>
      </c>
      <c r="B32" s="478"/>
      <c r="C32" s="478"/>
      <c r="D32" s="478"/>
      <c r="E32" s="478"/>
      <c r="F32" s="478"/>
      <c r="G32" s="478"/>
      <c r="H32" s="478"/>
      <c r="I32" s="479"/>
      <c r="J32" s="482" t="s">
        <v>2411</v>
      </c>
      <c r="K32" s="482"/>
      <c r="L32" s="482"/>
      <c r="M32" s="482"/>
      <c r="N32" s="482"/>
      <c r="O32" s="482"/>
    </row>
    <row r="33" spans="1:16" s="63" customFormat="1" ht="92.25" customHeight="1">
      <c r="A33" s="477" t="s">
        <v>2400</v>
      </c>
      <c r="B33" s="478"/>
      <c r="C33" s="478"/>
      <c r="D33" s="478"/>
      <c r="E33" s="478"/>
      <c r="F33" s="478"/>
      <c r="G33" s="478"/>
      <c r="H33" s="478"/>
      <c r="I33" s="479"/>
      <c r="J33" s="481" t="s">
        <v>2405</v>
      </c>
      <c r="K33" s="481"/>
      <c r="L33" s="481"/>
      <c r="M33" s="481"/>
      <c r="N33" s="481"/>
      <c r="O33" s="481"/>
    </row>
    <row r="34" spans="1:16" s="63" customFormat="1" ht="93" customHeight="1">
      <c r="A34" s="477" t="s">
        <v>2401</v>
      </c>
      <c r="B34" s="478"/>
      <c r="C34" s="478"/>
      <c r="D34" s="478"/>
      <c r="E34" s="478"/>
      <c r="F34" s="478"/>
      <c r="G34" s="478"/>
      <c r="H34" s="478"/>
      <c r="I34" s="479"/>
      <c r="J34" s="480" t="s">
        <v>2407</v>
      </c>
      <c r="K34" s="480"/>
      <c r="L34" s="480"/>
      <c r="M34" s="480"/>
      <c r="N34" s="480"/>
      <c r="O34" s="480"/>
    </row>
    <row r="35" spans="1:16" s="63" customFormat="1">
      <c r="A35" s="18"/>
      <c r="B35" s="18"/>
      <c r="C35" s="18"/>
      <c r="D35" s="18"/>
      <c r="L35" s="7"/>
    </row>
    <row r="36" spans="1:16" s="63" customFormat="1" ht="36" customHeight="1">
      <c r="A36" s="475" t="s">
        <v>2410</v>
      </c>
      <c r="B36" s="475"/>
      <c r="C36" s="475"/>
      <c r="D36" s="475"/>
      <c r="E36" s="475"/>
      <c r="F36" s="475"/>
      <c r="G36" s="475"/>
      <c r="H36" s="475"/>
      <c r="I36" s="475"/>
      <c r="J36" s="475"/>
      <c r="K36" s="475"/>
      <c r="L36" s="475"/>
      <c r="M36" s="475"/>
      <c r="N36" s="475"/>
      <c r="O36" s="475"/>
      <c r="P36" s="475"/>
    </row>
    <row r="37" spans="1:16" s="63" customFormat="1">
      <c r="A37" s="18"/>
      <c r="B37" s="18"/>
      <c r="C37" s="18"/>
      <c r="D37" s="18"/>
    </row>
    <row r="38" spans="1:16" s="63" customFormat="1">
      <c r="A38" s="18"/>
      <c r="B38" s="18"/>
      <c r="C38" s="18"/>
      <c r="D38" s="18"/>
    </row>
    <row r="39" spans="1:16" s="63" customFormat="1">
      <c r="A39" s="18"/>
      <c r="B39" s="18"/>
      <c r="C39" s="18"/>
      <c r="D39" s="18"/>
    </row>
    <row r="40" spans="1:16" s="63" customFormat="1">
      <c r="A40" s="18"/>
      <c r="B40" s="18"/>
      <c r="C40" s="18"/>
      <c r="D40" s="18"/>
    </row>
    <row r="41" spans="1:16" s="63" customFormat="1">
      <c r="A41" s="18"/>
      <c r="B41" s="18"/>
      <c r="C41" s="18"/>
      <c r="D41" s="18"/>
    </row>
    <row r="42" spans="1:16" s="63" customFormat="1">
      <c r="A42" s="18"/>
      <c r="B42" s="18"/>
      <c r="C42" s="18"/>
      <c r="D42" s="18"/>
    </row>
    <row r="43" spans="1:16" s="63" customFormat="1">
      <c r="A43" s="18"/>
      <c r="B43" s="18"/>
      <c r="C43" s="18"/>
      <c r="D43" s="18"/>
    </row>
    <row r="44" spans="1:16" s="63" customFormat="1">
      <c r="A44" s="18"/>
      <c r="B44" s="18"/>
      <c r="C44" s="18"/>
      <c r="D44" s="18"/>
    </row>
    <row r="45" spans="1:16" s="63" customFormat="1">
      <c r="A45" s="18"/>
      <c r="B45" s="18"/>
      <c r="C45" s="18"/>
      <c r="D45" s="18"/>
    </row>
    <row r="46" spans="1:16" s="63" customFormat="1">
      <c r="A46" s="18"/>
      <c r="B46" s="18"/>
      <c r="C46" s="18"/>
      <c r="D46" s="18"/>
    </row>
    <row r="47" spans="1:16" s="63" customFormat="1">
      <c r="A47" s="18"/>
      <c r="B47" s="18"/>
      <c r="C47" s="18"/>
      <c r="D47" s="18"/>
    </row>
    <row r="48" spans="1:16" s="63" customFormat="1">
      <c r="A48" s="18"/>
      <c r="B48" s="18"/>
      <c r="C48" s="18"/>
      <c r="D48" s="18"/>
    </row>
    <row r="49" spans="1:15" s="63" customFormat="1">
      <c r="A49" s="18"/>
      <c r="B49" s="18"/>
      <c r="C49" s="18"/>
      <c r="D49" s="18"/>
    </row>
    <row r="50" spans="1:15" s="63" customFormat="1">
      <c r="A50" s="18"/>
      <c r="B50" s="18"/>
      <c r="C50" s="18"/>
      <c r="D50" s="18"/>
    </row>
    <row r="51" spans="1:15" s="63" customFormat="1">
      <c r="A51" s="18"/>
      <c r="B51" s="18"/>
      <c r="C51" s="18"/>
      <c r="D51" s="18"/>
    </row>
    <row r="52" spans="1:15" s="63" customFormat="1">
      <c r="A52" s="18"/>
      <c r="B52" s="18"/>
      <c r="C52" s="18"/>
      <c r="D52" s="18"/>
    </row>
    <row r="53" spans="1:15" s="63" customFormat="1">
      <c r="A53" s="18"/>
      <c r="B53" s="18"/>
      <c r="C53" s="18"/>
      <c r="D53" s="18"/>
    </row>
    <row r="54" spans="1:15" s="63" customFormat="1">
      <c r="A54" s="18"/>
      <c r="B54" s="18"/>
      <c r="C54" s="18"/>
      <c r="D54" s="18"/>
    </row>
    <row r="55" spans="1:15" s="63" customFormat="1">
      <c r="A55" s="18"/>
      <c r="B55" s="18"/>
      <c r="C55" s="18"/>
      <c r="D55" s="18"/>
    </row>
    <row r="56" spans="1:15" s="63" customFormat="1"/>
    <row r="57" spans="1:15" s="63" customFormat="1"/>
    <row r="58" spans="1:15" s="63" customFormat="1"/>
    <row r="59" spans="1:15" s="63" customFormat="1"/>
    <row r="60" spans="1:15" s="63" customFormat="1"/>
    <row r="61" spans="1:15">
      <c r="A61" s="63"/>
      <c r="B61" s="63"/>
      <c r="C61" s="63"/>
      <c r="D61" s="63"/>
      <c r="E61" s="63"/>
      <c r="J61" s="63"/>
      <c r="K61" s="63"/>
      <c r="L61" s="63"/>
      <c r="M61" s="63"/>
      <c r="N61" s="63"/>
      <c r="O61" s="63"/>
    </row>
  </sheetData>
  <sheetProtection algorithmName="SHA-512" hashValue="cYU0b5OEmymtf0mmiHJM0Kgx75cjnN4ubVi3sS28jwb6m2M15qU+Bb7MIU2vIIpwqPC2yp5wNF2gWmIQUjSwxQ==" saltValue="ZsIb0U/9GEsJxKNS6V8rKQ==" spinCount="100000" sheet="1" selectLockedCells="1"/>
  <mergeCells count="13">
    <mergeCell ref="A36:P36"/>
    <mergeCell ref="A27:Q27"/>
    <mergeCell ref="A31:I31"/>
    <mergeCell ref="A32:I32"/>
    <mergeCell ref="A33:I33"/>
    <mergeCell ref="A34:I34"/>
    <mergeCell ref="J34:O34"/>
    <mergeCell ref="J33:O33"/>
    <mergeCell ref="J32:O32"/>
    <mergeCell ref="J31:O31"/>
    <mergeCell ref="J30:O30"/>
    <mergeCell ref="J29:O29"/>
    <mergeCell ref="A30:E30"/>
  </mergeCells>
  <pageMargins left="0.7" right="0.7" top="0.75" bottom="0.75" header="0.3" footer="0.3"/>
  <pageSetup scale="67" fitToHeight="0" orientation="portrait" r:id="rId1"/>
  <headerFooter>
    <oddFooter>&amp;CSubject to Terms of Use
MIT CENTER FOR BIOMEDICAL INNOVATION
NEWDIGS/FoCUS</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1:P52"/>
  <sheetViews>
    <sheetView showGridLines="0" zoomScaleNormal="100" workbookViewId="0">
      <selection activeCell="A11" sqref="A11:G11"/>
    </sheetView>
  </sheetViews>
  <sheetFormatPr baseColWidth="10" defaultColWidth="9.1640625" defaultRowHeight="15"/>
  <cols>
    <col min="1" max="1" width="35.83203125" style="126" customWidth="1"/>
    <col min="2" max="2" width="33.83203125" style="126" customWidth="1"/>
    <col min="3" max="3" width="32" style="126" customWidth="1"/>
    <col min="4" max="5" width="18.5" style="126" customWidth="1"/>
    <col min="6" max="6" width="24.5" style="126" customWidth="1"/>
    <col min="7" max="7" width="16" style="126" customWidth="1"/>
    <col min="8" max="8" width="16.5" style="126" customWidth="1"/>
    <col min="9" max="9" width="25.5" style="126" customWidth="1"/>
    <col min="10" max="13" width="14.1640625" style="126" customWidth="1"/>
    <col min="14" max="14" width="4.83203125" style="126" customWidth="1"/>
    <col min="15" max="16" width="14.1640625" style="126" customWidth="1"/>
    <col min="17" max="16384" width="9.1640625" style="126"/>
  </cols>
  <sheetData>
    <row r="1" spans="1:16" ht="24">
      <c r="A1" s="256"/>
      <c r="B1" s="492" t="s">
        <v>115</v>
      </c>
      <c r="C1" s="489"/>
    </row>
    <row r="2" spans="1:16" ht="19">
      <c r="A2" s="125"/>
    </row>
    <row r="3" spans="1:16">
      <c r="A3" s="131" t="s">
        <v>2429</v>
      </c>
    </row>
    <row r="4" spans="1:16" s="133" customFormat="1">
      <c r="A4" s="132" t="s">
        <v>312</v>
      </c>
    </row>
    <row r="5" spans="1:16" s="133" customFormat="1">
      <c r="A5" s="132"/>
    </row>
    <row r="6" spans="1:16" s="133" customFormat="1">
      <c r="A6" s="495" t="s">
        <v>2453</v>
      </c>
      <c r="B6" s="491"/>
      <c r="C6" s="491"/>
      <c r="D6" s="491"/>
      <c r="E6" s="491"/>
      <c r="F6" s="491"/>
    </row>
    <row r="7" spans="1:16" s="133" customFormat="1">
      <c r="A7" s="491"/>
      <c r="B7" s="491"/>
      <c r="C7" s="491"/>
      <c r="D7" s="491"/>
      <c r="E7" s="491"/>
      <c r="F7" s="491"/>
    </row>
    <row r="8" spans="1:16" s="133" customFormat="1">
      <c r="A8" s="491"/>
      <c r="B8" s="491"/>
      <c r="C8" s="491"/>
      <c r="D8" s="491"/>
      <c r="E8" s="491"/>
      <c r="F8" s="491"/>
    </row>
    <row r="10" spans="1:16">
      <c r="A10" s="134" t="s">
        <v>2452</v>
      </c>
      <c r="B10" s="134"/>
      <c r="C10" s="134"/>
      <c r="D10" s="134"/>
      <c r="E10" s="134"/>
      <c r="F10" s="134"/>
      <c r="G10" s="134"/>
      <c r="H10" s="134"/>
      <c r="I10" s="134"/>
      <c r="J10" s="134"/>
      <c r="K10" s="134"/>
      <c r="L10" s="128"/>
      <c r="M10" s="128"/>
    </row>
    <row r="11" spans="1:16">
      <c r="A11" s="501" t="s">
        <v>2461</v>
      </c>
      <c r="B11" s="501"/>
      <c r="C11" s="501"/>
      <c r="D11" s="501"/>
      <c r="E11" s="501"/>
      <c r="F11" s="501"/>
      <c r="G11" s="501"/>
    </row>
    <row r="12" spans="1:16" ht="18" customHeight="1">
      <c r="A12" s="435"/>
      <c r="B12" s="496" t="s">
        <v>1532</v>
      </c>
      <c r="C12" s="489"/>
      <c r="D12" s="435"/>
      <c r="E12" s="435"/>
      <c r="F12" s="435"/>
      <c r="G12" s="435"/>
      <c r="H12" s="214"/>
      <c r="I12" s="214"/>
      <c r="J12" s="214"/>
      <c r="K12" s="214"/>
      <c r="L12" s="136"/>
      <c r="M12" s="136"/>
    </row>
    <row r="14" spans="1:16" ht="14.25" customHeight="1">
      <c r="A14" s="211" t="s">
        <v>1445</v>
      </c>
      <c r="B14" s="136"/>
      <c r="C14" s="136"/>
      <c r="D14" s="136"/>
      <c r="E14" s="136"/>
      <c r="F14" s="136"/>
      <c r="G14" s="136"/>
      <c r="H14" s="136"/>
      <c r="I14" s="136"/>
      <c r="J14" s="136"/>
      <c r="K14" s="136"/>
      <c r="L14" s="257"/>
      <c r="M14" s="136"/>
    </row>
    <row r="15" spans="1:16">
      <c r="A15" s="493" t="s">
        <v>468</v>
      </c>
      <c r="B15" s="494"/>
      <c r="C15" s="494"/>
      <c r="D15" s="494"/>
      <c r="E15" s="136"/>
      <c r="F15" s="136"/>
      <c r="G15" s="136"/>
      <c r="H15" s="136"/>
      <c r="I15" s="136"/>
      <c r="J15" s="136"/>
      <c r="K15" s="136"/>
      <c r="L15" s="136"/>
      <c r="M15" s="136"/>
    </row>
    <row r="16" spans="1:16">
      <c r="A16" s="136"/>
      <c r="B16" s="231"/>
      <c r="C16" s="136"/>
      <c r="D16" s="136"/>
      <c r="E16" s="136"/>
      <c r="F16" s="136"/>
      <c r="G16" s="136"/>
      <c r="H16" s="136"/>
      <c r="I16" s="190"/>
      <c r="J16" s="190"/>
      <c r="K16" s="190"/>
      <c r="L16" s="136"/>
      <c r="M16" s="136"/>
      <c r="O16" s="139"/>
      <c r="P16" s="139"/>
    </row>
    <row r="17" spans="1:13">
      <c r="A17" s="228"/>
      <c r="B17" s="136"/>
      <c r="C17" s="136"/>
      <c r="D17" s="136"/>
      <c r="E17" s="136"/>
      <c r="F17" s="136"/>
      <c r="G17" s="136"/>
      <c r="H17" s="136"/>
      <c r="I17" s="136"/>
      <c r="J17" s="136"/>
      <c r="K17" s="136"/>
      <c r="L17" s="136"/>
      <c r="M17" s="136"/>
    </row>
    <row r="18" spans="1:13" ht="48">
      <c r="A18" s="216" t="s">
        <v>64</v>
      </c>
      <c r="B18" s="258" t="s">
        <v>323</v>
      </c>
      <c r="C18" s="497" t="s">
        <v>302</v>
      </c>
      <c r="D18" s="498"/>
      <c r="E18" s="259" t="s">
        <v>324</v>
      </c>
      <c r="F18" s="260" t="s">
        <v>1533</v>
      </c>
      <c r="G18" s="260" t="s">
        <v>116</v>
      </c>
      <c r="H18" s="136"/>
      <c r="I18" s="136"/>
      <c r="J18" s="136"/>
      <c r="K18" s="136"/>
      <c r="L18" s="136"/>
      <c r="M18" s="136"/>
    </row>
    <row r="19" spans="1:13">
      <c r="A19" s="136" t="s">
        <v>311</v>
      </c>
      <c r="B19" s="119" t="s">
        <v>46</v>
      </c>
      <c r="C19" s="499" t="s">
        <v>210</v>
      </c>
      <c r="D19" s="500"/>
      <c r="E19" s="119" t="s">
        <v>550</v>
      </c>
      <c r="F19" s="261">
        <f ca="1">IF($E$19="All",INDEX('Disease - Therapeutic Class'!E:E,MATCH($C$19,'Disease - Therapeutic Class'!$B:$B,0),1),INDIRECT(Calculation!$D$6&amp;"G"&amp;Calculation!$D$13))</f>
        <v>1365.5250000000001</v>
      </c>
      <c r="G19" s="262">
        <f ca="1">IF($E$19="All",INDEX('Disease - Therapeutic Class'!F:F,MATCH($C$19,'Disease - Therapeutic Class'!$B:$B,0),1),INDIRECT(Calculation!$D$6&amp;"H"&amp;Calculation!$D$13))</f>
        <v>0</v>
      </c>
      <c r="H19" s="136"/>
      <c r="I19" s="230"/>
      <c r="J19" s="136"/>
      <c r="K19" s="136"/>
      <c r="L19" s="136"/>
      <c r="M19" s="136"/>
    </row>
    <row r="20" spans="1:13" ht="14.25" customHeight="1">
      <c r="C20" s="219" t="str">
        <f ca="1">IF(ISERROR(MATCH(C19,INDIRECT(Calculation!K11),0)),"Please Update Disease Menu","")</f>
        <v/>
      </c>
      <c r="D20" s="219"/>
      <c r="E20" s="219" t="str">
        <f ca="1">IF(ISERROR(MATCH(E19,Calculation!B4:B100,0)),"Please Update Subpopulation","")</f>
        <v/>
      </c>
      <c r="F20" s="263"/>
      <c r="G20" s="263"/>
      <c r="H20" s="136"/>
      <c r="I20" s="136"/>
      <c r="J20" s="136"/>
      <c r="K20" s="136"/>
      <c r="L20" s="136"/>
      <c r="M20" s="136"/>
    </row>
    <row r="21" spans="1:13" ht="14.25" customHeight="1">
      <c r="A21" s="264" t="s">
        <v>1448</v>
      </c>
      <c r="B21" s="136" t="s">
        <v>1449</v>
      </c>
      <c r="C21" s="219"/>
      <c r="D21" s="219"/>
      <c r="E21" s="219"/>
      <c r="F21" s="263"/>
      <c r="G21" s="263"/>
      <c r="H21" s="136"/>
      <c r="I21" s="136"/>
      <c r="J21" s="136"/>
      <c r="K21" s="136"/>
      <c r="L21" s="136"/>
      <c r="M21" s="136"/>
    </row>
    <row r="22" spans="1:13">
      <c r="A22" s="136"/>
      <c r="B22" s="136" t="s">
        <v>1450</v>
      </c>
      <c r="C22" s="136"/>
      <c r="D22" s="136"/>
      <c r="E22" s="136"/>
      <c r="F22" s="263"/>
      <c r="G22" s="263"/>
      <c r="H22" s="136"/>
      <c r="I22" s="136"/>
      <c r="J22" s="136"/>
      <c r="K22" s="136"/>
      <c r="L22" s="136"/>
      <c r="M22" s="136"/>
    </row>
    <row r="23" spans="1:13" ht="16">
      <c r="A23" s="136"/>
      <c r="B23" s="448" t="s">
        <v>2451</v>
      </c>
      <c r="C23" s="436"/>
      <c r="D23" s="436"/>
      <c r="E23" s="436"/>
      <c r="F23" s="436"/>
      <c r="G23" s="436"/>
      <c r="H23" s="136"/>
      <c r="I23" s="136"/>
      <c r="J23" s="136"/>
      <c r="K23" s="136"/>
      <c r="L23" s="136"/>
      <c r="M23" s="136"/>
    </row>
    <row r="24" spans="1:13">
      <c r="A24" s="136"/>
      <c r="B24" s="265"/>
      <c r="C24" s="265"/>
      <c r="D24" s="265"/>
      <c r="E24" s="265"/>
      <c r="F24" s="265"/>
      <c r="G24" s="265"/>
      <c r="H24" s="136"/>
      <c r="I24" s="136"/>
      <c r="J24" s="136"/>
      <c r="K24" s="136"/>
      <c r="L24" s="136"/>
      <c r="M24" s="136"/>
    </row>
    <row r="25" spans="1:13" ht="47.25" customHeight="1">
      <c r="A25" s="136"/>
      <c r="B25" s="265"/>
      <c r="C25" s="265"/>
      <c r="D25" s="265"/>
      <c r="E25" s="265"/>
      <c r="F25" s="260" t="s">
        <v>1534</v>
      </c>
      <c r="G25" s="260" t="s">
        <v>1535</v>
      </c>
      <c r="H25" s="136"/>
      <c r="I25" s="136"/>
      <c r="J25" s="136"/>
      <c r="K25" s="136"/>
      <c r="L25" s="136"/>
      <c r="M25" s="136"/>
    </row>
    <row r="26" spans="1:13">
      <c r="A26" s="136"/>
      <c r="B26" s="265"/>
      <c r="C26" s="266" t="s">
        <v>1454</v>
      </c>
      <c r="D26" s="267">
        <v>331500000</v>
      </c>
      <c r="F26" s="268">
        <f ca="1">100000*F19/$D$26</f>
        <v>0.41192307692307695</v>
      </c>
      <c r="G26" s="268">
        <f ca="1">100000*G19/$D$26</f>
        <v>0</v>
      </c>
      <c r="H26" s="136"/>
      <c r="I26" s="136"/>
      <c r="J26" s="136"/>
      <c r="K26" s="136"/>
      <c r="L26" s="136"/>
      <c r="M26" s="136"/>
    </row>
    <row r="27" spans="1:13" ht="14.25" customHeight="1">
      <c r="A27" s="136"/>
      <c r="B27" s="265"/>
      <c r="C27" s="265"/>
      <c r="D27" s="265"/>
      <c r="E27" s="265"/>
      <c r="F27" s="265"/>
      <c r="G27" s="265"/>
      <c r="H27" s="136"/>
      <c r="I27" s="136"/>
      <c r="J27" s="136"/>
      <c r="K27" s="136"/>
      <c r="L27" s="136"/>
      <c r="M27" s="136"/>
    </row>
    <row r="28" spans="1:13" ht="14.25" customHeight="1">
      <c r="A28" s="136"/>
      <c r="B28" s="265"/>
      <c r="C28" s="265"/>
      <c r="D28" s="265"/>
      <c r="E28" s="265"/>
      <c r="F28" s="265"/>
      <c r="G28" s="265"/>
      <c r="H28" s="136"/>
      <c r="I28" s="136"/>
      <c r="J28" s="136"/>
      <c r="K28" s="136"/>
      <c r="L28" s="136"/>
      <c r="M28" s="136"/>
    </row>
    <row r="29" spans="1:13" ht="18" customHeight="1">
      <c r="A29" s="269"/>
      <c r="B29" s="488" t="s">
        <v>1466</v>
      </c>
      <c r="C29" s="489"/>
      <c r="D29" s="269"/>
      <c r="E29" s="269"/>
      <c r="F29" s="269"/>
      <c r="G29" s="269"/>
      <c r="H29" s="136"/>
      <c r="I29" s="136"/>
      <c r="J29" s="136"/>
      <c r="K29" s="136"/>
      <c r="L29" s="136"/>
      <c r="M29" s="136"/>
    </row>
    <row r="30" spans="1:13" ht="14.25" customHeight="1">
      <c r="G30" s="136"/>
      <c r="H30" s="136"/>
      <c r="I30" s="136"/>
      <c r="J30" s="136"/>
      <c r="K30" s="136"/>
      <c r="L30" s="136"/>
      <c r="M30" s="136"/>
    </row>
    <row r="31" spans="1:13" ht="14.25" customHeight="1">
      <c r="A31" s="270" t="s">
        <v>1531</v>
      </c>
      <c r="B31" s="140"/>
      <c r="C31" s="140"/>
      <c r="D31" s="140"/>
      <c r="E31" s="140"/>
      <c r="F31" s="140"/>
      <c r="G31" s="136"/>
      <c r="H31" s="136"/>
      <c r="I31" s="136"/>
      <c r="J31" s="136"/>
      <c r="K31" s="136"/>
      <c r="L31" s="136"/>
      <c r="M31" s="136"/>
    </row>
    <row r="32" spans="1:13" ht="14.25" customHeight="1">
      <c r="B32" s="271"/>
      <c r="C32" s="271"/>
      <c r="D32" s="271"/>
      <c r="E32" s="272"/>
      <c r="F32" s="271"/>
      <c r="G32" s="136"/>
      <c r="H32" s="136"/>
      <c r="I32" s="136"/>
      <c r="J32" s="136"/>
      <c r="K32" s="136"/>
      <c r="L32" s="136"/>
      <c r="M32" s="136"/>
    </row>
    <row r="33" spans="1:15" ht="14.25" customHeight="1">
      <c r="A33" s="273" t="s">
        <v>1465</v>
      </c>
      <c r="G33" s="136"/>
      <c r="H33" s="136"/>
      <c r="I33" s="136"/>
      <c r="J33" s="136"/>
      <c r="K33" s="136"/>
      <c r="L33" s="136"/>
      <c r="M33" s="136"/>
    </row>
    <row r="34" spans="1:15" ht="14.25" customHeight="1">
      <c r="A34" s="273" t="s">
        <v>1459</v>
      </c>
      <c r="G34" s="136"/>
      <c r="H34" s="136"/>
      <c r="I34" s="136"/>
      <c r="J34" s="136"/>
      <c r="K34" s="136"/>
      <c r="L34" s="136"/>
      <c r="M34" s="136"/>
    </row>
    <row r="35" spans="1:15" ht="14.25" customHeight="1">
      <c r="A35" s="133"/>
      <c r="F35" s="486" t="str">
        <f>CONCATENATE(""""&amp;$B$37&amp;""" Incidence Estimate")</f>
        <v>"Medicaid" Incidence Estimate</v>
      </c>
      <c r="G35" s="486" t="str">
        <f>CONCATENATE(""""&amp;$B$37&amp;""" Prevalence Estimate")</f>
        <v>"Medicaid" Prevalence Estimate</v>
      </c>
      <c r="H35" s="136"/>
      <c r="I35" s="136"/>
      <c r="J35" s="136"/>
      <c r="K35" s="136"/>
      <c r="L35" s="136"/>
      <c r="M35" s="136"/>
    </row>
    <row r="36" spans="1:15" ht="45" customHeight="1">
      <c r="A36" s="273"/>
      <c r="B36" s="274" t="s">
        <v>1538</v>
      </c>
      <c r="F36" s="487"/>
      <c r="G36" s="487"/>
      <c r="H36" s="136"/>
      <c r="I36" s="136"/>
      <c r="J36" s="136"/>
      <c r="K36" s="136"/>
      <c r="L36" s="136"/>
      <c r="M36" s="136"/>
    </row>
    <row r="37" spans="1:15" ht="14.25" customHeight="1">
      <c r="A37" s="275" t="s">
        <v>1519</v>
      </c>
      <c r="B37" s="118" t="s">
        <v>1515</v>
      </c>
      <c r="F37" s="261">
        <f ca="1">F19*INDEX('Disease - Therapeutic Class'!$K:$R,MATCH($C$19,'Disease - Therapeutic Class'!$B:$B,0),'Hidden Drop Down Lists'!B$31)</f>
        <v>208.63390028118317</v>
      </c>
      <c r="G37" s="261">
        <f ca="1">G19*INDEX('Disease - Therapeutic Class'!$K:$R,MATCH($C$19,'Disease - Therapeutic Class'!$B:$B,0),'Hidden Drop Down Lists'!C$31)</f>
        <v>0</v>
      </c>
      <c r="H37" s="136"/>
      <c r="I37" s="136"/>
      <c r="J37" s="136"/>
      <c r="K37" s="136"/>
      <c r="L37" s="136"/>
      <c r="M37" s="136"/>
    </row>
    <row r="38" spans="1:15" ht="14.25" customHeight="1">
      <c r="A38" s="266"/>
      <c r="B38" s="276"/>
      <c r="C38" s="136"/>
      <c r="G38" s="136"/>
      <c r="H38" s="136"/>
      <c r="I38" s="136"/>
      <c r="J38" s="136"/>
      <c r="K38" s="136"/>
      <c r="L38" s="136"/>
      <c r="M38" s="136"/>
    </row>
    <row r="39" spans="1:15">
      <c r="B39" s="277" t="str">
        <f ca="1">IF(AND($F$41=0,$G$41=0),CONCATENATE("No treatment eligible  """&amp;C19&amp;""" patients for this payer type"),"")</f>
        <v/>
      </c>
      <c r="G39" s="136"/>
      <c r="H39" s="136"/>
      <c r="I39" s="136"/>
      <c r="J39" s="136"/>
      <c r="K39" s="136"/>
      <c r="L39" s="136"/>
      <c r="M39" s="136"/>
    </row>
    <row r="40" spans="1:15" ht="62.25" customHeight="1">
      <c r="A40" s="266"/>
      <c r="B40" s="266"/>
      <c r="C40" s="278"/>
      <c r="D40" s="148"/>
      <c r="E40" s="148"/>
      <c r="F40" s="260" t="str">
        <f>CONCATENATE(""""&amp;$B$37&amp;""" Incidence per 100,000")</f>
        <v>"Medicaid" Incidence per 100,000</v>
      </c>
      <c r="G40" s="260" t="str">
        <f>CONCATENATE(""""&amp;$B$37&amp;""" Prevalence per 100,000")</f>
        <v>"Medicaid" Prevalence per 100,000</v>
      </c>
      <c r="H40" s="136"/>
      <c r="I40" s="136"/>
      <c r="J40" s="136"/>
      <c r="K40" s="136"/>
      <c r="L40" s="136"/>
      <c r="M40" s="136"/>
    </row>
    <row r="41" spans="1:15">
      <c r="A41" s="148"/>
      <c r="B41" s="266"/>
      <c r="C41" s="266" t="str">
        <f>CONCATENATE("Estimated population for """&amp;$B$37&amp;"""")</f>
        <v>Estimated population for "Medicaid"</v>
      </c>
      <c r="D41" s="279">
        <f>'Hidden Drop Down Lists'!$C$38</f>
        <v>70225000</v>
      </c>
      <c r="F41" s="280">
        <f ca="1">100000*F$37/$D$41</f>
        <v>0.29709348562646232</v>
      </c>
      <c r="G41" s="280">
        <f ca="1">100000*G$37/$D$41</f>
        <v>0</v>
      </c>
      <c r="H41" s="136"/>
      <c r="I41" s="136"/>
      <c r="J41" s="136"/>
      <c r="K41" s="136"/>
      <c r="L41" s="136"/>
      <c r="M41" s="136"/>
    </row>
    <row r="42" spans="1:15" ht="76" hidden="1" customHeight="1">
      <c r="A42" s="266"/>
      <c r="B42" s="276"/>
      <c r="C42" s="136"/>
      <c r="D42" s="266"/>
      <c r="E42" s="266"/>
      <c r="F42" s="278"/>
      <c r="G42" s="136"/>
      <c r="H42" s="136"/>
      <c r="I42" s="136"/>
      <c r="J42" s="136"/>
      <c r="K42" s="136"/>
      <c r="L42" s="136"/>
      <c r="M42" s="136"/>
    </row>
    <row r="43" spans="1:15" s="133" customFormat="1">
      <c r="J43" s="136"/>
      <c r="K43" s="136"/>
      <c r="L43" s="136"/>
      <c r="M43" s="136"/>
      <c r="N43" s="126"/>
    </row>
    <row r="44" spans="1:15" s="133" customFormat="1" ht="18" customHeight="1">
      <c r="A44" s="449"/>
      <c r="B44" s="490" t="s">
        <v>1455</v>
      </c>
      <c r="C44" s="491"/>
      <c r="D44" s="449"/>
      <c r="E44" s="449"/>
      <c r="F44" s="449"/>
      <c r="G44" s="449"/>
      <c r="H44" s="139"/>
      <c r="I44" s="139"/>
      <c r="J44" s="214"/>
      <c r="K44" s="214"/>
      <c r="L44" s="136"/>
      <c r="M44" s="136"/>
      <c r="N44" s="126"/>
      <c r="O44" s="126"/>
    </row>
    <row r="45" spans="1:15" s="133" customFormat="1" ht="14.25" customHeight="1">
      <c r="B45" s="136"/>
      <c r="C45" s="136"/>
      <c r="D45" s="136"/>
      <c r="E45" s="136"/>
      <c r="F45" s="136"/>
      <c r="G45" s="136"/>
      <c r="H45" s="136"/>
      <c r="I45" s="136"/>
      <c r="J45" s="136"/>
      <c r="K45" s="136"/>
      <c r="L45" s="136"/>
      <c r="M45" s="136"/>
      <c r="N45" s="126"/>
    </row>
    <row r="46" spans="1:15" s="133" customFormat="1" ht="33.75" customHeight="1">
      <c r="A46" s="418" t="str">
        <f>CONCATENATE("Step 3: Ratio the  """&amp;$B$37&amp;""" population to your plan")</f>
        <v>Step 3: Ratio the  "Medicaid" population to your plan</v>
      </c>
      <c r="B46" s="136"/>
      <c r="C46" s="136"/>
      <c r="D46" s="136"/>
      <c r="E46" s="136"/>
      <c r="F46" s="260" t="s">
        <v>1457</v>
      </c>
      <c r="G46" s="281" t="s">
        <v>1458</v>
      </c>
      <c r="H46" s="136"/>
      <c r="I46" s="136"/>
      <c r="J46" s="140"/>
      <c r="K46" s="140"/>
      <c r="L46" s="136"/>
      <c r="M46" s="140"/>
    </row>
    <row r="47" spans="1:15" s="133" customFormat="1" ht="14.25" customHeight="1">
      <c r="A47" s="266" t="s">
        <v>315</v>
      </c>
      <c r="B47" s="62">
        <v>130000</v>
      </c>
      <c r="C47" s="136"/>
      <c r="F47" s="282">
        <f ca="1">F$41*$B$47/100000</f>
        <v>0.38622153131440101</v>
      </c>
      <c r="G47" s="282">
        <f ca="1">G$41*$B$47/100000</f>
        <v>0</v>
      </c>
      <c r="H47" s="136"/>
      <c r="I47" s="136"/>
      <c r="J47" s="140"/>
      <c r="K47" s="140"/>
      <c r="L47" s="136"/>
      <c r="M47" s="136"/>
      <c r="N47" s="126"/>
    </row>
    <row r="48" spans="1:15" ht="14.25" customHeight="1">
      <c r="A48" s="283" t="s">
        <v>1570</v>
      </c>
      <c r="B48" s="136"/>
      <c r="C48" s="136"/>
      <c r="D48" s="136"/>
      <c r="E48" s="136"/>
      <c r="H48" s="136"/>
      <c r="I48" s="136"/>
      <c r="J48" s="140"/>
      <c r="K48" s="140"/>
      <c r="L48" s="140"/>
      <c r="M48" s="140"/>
      <c r="N48" s="133"/>
      <c r="O48" s="133"/>
    </row>
    <row r="49" spans="1:15" ht="71.25" customHeight="1">
      <c r="A49" s="283"/>
      <c r="B49" s="136"/>
      <c r="C49" s="284"/>
      <c r="D49" s="284"/>
      <c r="H49" s="136"/>
      <c r="I49" s="136"/>
      <c r="J49" s="140"/>
      <c r="K49" s="140"/>
      <c r="L49" s="140"/>
      <c r="M49" s="140"/>
      <c r="N49" s="133"/>
      <c r="O49" s="133"/>
    </row>
    <row r="50" spans="1:15">
      <c r="E50" s="291"/>
      <c r="F50" s="292"/>
    </row>
    <row r="51" spans="1:15">
      <c r="C51" s="136"/>
      <c r="D51" s="136"/>
    </row>
    <row r="52" spans="1:15">
      <c r="E52" s="136"/>
      <c r="F52" s="136"/>
    </row>
  </sheetData>
  <sheetProtection algorithmName="SHA-512" hashValue="MAolkS9uOhx9t00/iI2dhyzU5h3DvgCGIxopvOun66DpePLwicXiSQUbfBcSDnyy32aiphhzddxiEZ8qM14Rdw==" saltValue="85cyGuMYo7hnVc/Nj5LzTQ==" spinCount="100000" sheet="1" insertHyperlinks="0" selectLockedCells="1"/>
  <mergeCells count="11">
    <mergeCell ref="G35:G36"/>
    <mergeCell ref="B29:C29"/>
    <mergeCell ref="B44:C44"/>
    <mergeCell ref="B1:C1"/>
    <mergeCell ref="A15:D15"/>
    <mergeCell ref="A6:F8"/>
    <mergeCell ref="B12:C12"/>
    <mergeCell ref="C18:D18"/>
    <mergeCell ref="C19:D19"/>
    <mergeCell ref="F35:F36"/>
    <mergeCell ref="A11:G11"/>
  </mergeCells>
  <phoneticPr fontId="32" type="noConversion"/>
  <hyperlinks>
    <hyperlink ref="A11:G11" r:id="rId1" display="Detailed instructions on completing  this worksheet tool may be found here:   Individual Indication Workbook background" xr:uid="{5EB44EEF-38DE-CE4B-B78B-1AAD06532448}"/>
  </hyperlinks>
  <pageMargins left="0.7" right="0.7" top="0.75" bottom="0.75" header="0.3" footer="0.3"/>
  <pageSetup scale="57" fitToHeight="0" orientation="landscape" horizontalDpi="1200" verticalDpi="1200" r:id="rId2"/>
  <headerFooter>
    <oddFooter>&amp;CSubject to Terms of Use
MIT CENTER FOR BIOMEDICAL INNOVATION
NEWDIGS/FoCUS</oddFooter>
  </headerFooter>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2000000}">
          <x14:formula1>
            <xm:f>INDIRECT(Calculation!$K$11)</xm:f>
          </x14:formula1>
          <xm:sqref>C19:D19</xm:sqref>
        </x14:dataValidation>
        <x14:dataValidation type="list" allowBlank="1" showInputMessage="1" showErrorMessage="1" xr:uid="{00000000-0002-0000-0600-000004000000}">
          <x14:formula1>
            <xm:f>'Hidden Drop Down Lists'!$A$27:$A$30</xm:f>
          </x14:formula1>
          <xm:sqref>B37</xm:sqref>
        </x14:dataValidation>
        <x14:dataValidation type="list" allowBlank="1" showInputMessage="1" showErrorMessage="1" xr:uid="{00000000-0002-0000-0600-000000000000}">
          <x14:formula1>
            <xm:f>'Therapeutic Classes - Diseases'!$B$4:$B$13</xm:f>
          </x14:formula1>
          <xm:sqref>B19</xm:sqref>
        </x14:dataValidation>
        <x14:dataValidation type="list" allowBlank="1" showInputMessage="1" showErrorMessage="1" xr:uid="{00000000-0002-0000-0600-000001000000}">
          <x14:formula1>
            <xm:f>INDIRECT(Calculation!$K$15)</xm:f>
          </x14:formula1>
          <xm:sqref>E19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2601E-3F7B-4C42-8432-BA34D4412B1F}">
  <sheetPr codeName="Sheet15">
    <tabColor rgb="FF92D050"/>
  </sheetPr>
  <dimension ref="A1:P94"/>
  <sheetViews>
    <sheetView showGridLines="0" tabSelected="1" zoomScaleNormal="100" workbookViewId="0">
      <selection activeCell="A10" sqref="A10:H10"/>
    </sheetView>
  </sheetViews>
  <sheetFormatPr baseColWidth="10" defaultColWidth="9.1640625" defaultRowHeight="15"/>
  <cols>
    <col min="1" max="1" width="39.33203125" style="126" customWidth="1"/>
    <col min="2" max="2" width="29.83203125" style="126" customWidth="1"/>
    <col min="3" max="3" width="26.33203125" style="126" customWidth="1"/>
    <col min="4" max="4" width="18.5" style="126" customWidth="1"/>
    <col min="5" max="5" width="22.83203125" style="126" customWidth="1"/>
    <col min="6" max="6" width="24" style="126" customWidth="1"/>
    <col min="7" max="7" width="22.6640625" style="126" customWidth="1"/>
    <col min="8" max="8" width="17.5" style="126" customWidth="1"/>
    <col min="9" max="9" width="25.5" style="126" customWidth="1"/>
    <col min="10" max="13" width="14.1640625" style="126" customWidth="1"/>
    <col min="14" max="14" width="4.83203125" style="126" customWidth="1"/>
    <col min="15" max="16" width="14.1640625" style="126" customWidth="1"/>
    <col min="17" max="16384" width="9.1640625" style="126"/>
  </cols>
  <sheetData>
    <row r="1" spans="1:16" ht="24">
      <c r="A1" s="470"/>
      <c r="B1" s="492" t="s">
        <v>2379</v>
      </c>
      <c r="C1" s="489"/>
    </row>
    <row r="2" spans="1:16" ht="15" customHeight="1">
      <c r="A2" s="256"/>
    </row>
    <row r="3" spans="1:16">
      <c r="A3" s="131" t="s">
        <v>2429</v>
      </c>
    </row>
    <row r="4" spans="1:16" s="133" customFormat="1">
      <c r="A4" s="132" t="s">
        <v>312</v>
      </c>
    </row>
    <row r="5" spans="1:16" s="133" customFormat="1">
      <c r="A5" s="132"/>
    </row>
    <row r="6" spans="1:16">
      <c r="A6" s="63" t="s">
        <v>2384</v>
      </c>
    </row>
    <row r="7" spans="1:16">
      <c r="A7" s="63" t="s">
        <v>2383</v>
      </c>
    </row>
    <row r="8" spans="1:16">
      <c r="A8" s="63"/>
    </row>
    <row r="9" spans="1:16">
      <c r="A9" s="134" t="s">
        <v>2450</v>
      </c>
      <c r="B9" s="134"/>
      <c r="C9" s="134"/>
      <c r="D9" s="134"/>
      <c r="E9" s="134"/>
      <c r="F9" s="134"/>
      <c r="G9" s="134"/>
      <c r="H9" s="134"/>
      <c r="I9" s="134"/>
      <c r="J9" s="134"/>
      <c r="K9" s="134"/>
      <c r="L9" s="383"/>
      <c r="M9" s="383"/>
    </row>
    <row r="10" spans="1:16">
      <c r="A10" s="501" t="s">
        <v>2462</v>
      </c>
      <c r="B10" s="501"/>
      <c r="C10" s="501"/>
      <c r="D10" s="501"/>
      <c r="E10" s="501"/>
      <c r="F10" s="501"/>
      <c r="G10" s="501"/>
      <c r="H10" s="501"/>
    </row>
    <row r="11" spans="1:16" ht="18" customHeight="1">
      <c r="A11" s="441"/>
      <c r="B11" s="519" t="s">
        <v>2385</v>
      </c>
      <c r="C11" s="520"/>
      <c r="D11" s="441"/>
      <c r="E11" s="441"/>
      <c r="F11" s="441"/>
      <c r="G11" s="441"/>
      <c r="H11" s="441"/>
      <c r="I11" s="136"/>
      <c r="J11" s="136"/>
      <c r="K11" s="140"/>
      <c r="L11" s="140"/>
      <c r="M11" s="140"/>
      <c r="N11" s="140"/>
      <c r="O11" s="133"/>
      <c r="P11" s="133"/>
    </row>
    <row r="12" spans="1:16" ht="33" customHeight="1">
      <c r="A12" s="429" t="s">
        <v>2430</v>
      </c>
      <c r="B12" s="136"/>
      <c r="C12" s="284"/>
      <c r="D12" s="284"/>
      <c r="F12" s="486" t="s">
        <v>1533</v>
      </c>
      <c r="G12" s="486" t="s">
        <v>116</v>
      </c>
      <c r="H12" s="136"/>
      <c r="I12" s="136"/>
      <c r="J12" s="140"/>
      <c r="K12" s="140"/>
      <c r="L12" s="140"/>
      <c r="M12" s="140"/>
      <c r="N12" s="133"/>
      <c r="O12" s="133"/>
    </row>
    <row r="13" spans="1:16" ht="18" customHeight="1">
      <c r="B13" s="258" t="s">
        <v>2390</v>
      </c>
      <c r="C13" s="497" t="s">
        <v>302</v>
      </c>
      <c r="D13" s="498"/>
      <c r="E13" s="384" t="s">
        <v>324</v>
      </c>
      <c r="F13" s="486"/>
      <c r="G13" s="486"/>
      <c r="H13" s="136"/>
      <c r="I13" s="136"/>
      <c r="J13" s="140"/>
      <c r="K13" s="140"/>
      <c r="L13" s="140"/>
      <c r="M13" s="140"/>
      <c r="N13" s="133"/>
      <c r="O13" s="133"/>
    </row>
    <row r="14" spans="1:16" ht="18" customHeight="1">
      <c r="A14" s="266" t="s">
        <v>2412</v>
      </c>
      <c r="B14" s="243" t="str">
        <f>'Population Estimator Tool'!B19</f>
        <v>Cancer, hematological</v>
      </c>
      <c r="C14" s="514" t="str">
        <f>'Population Estimator Tool'!C19</f>
        <v>Cancer, leukaemia, acute lymphocytic</v>
      </c>
      <c r="D14" s="514"/>
      <c r="E14" s="390" t="str">
        <f>'Population Estimator Tool'!E19</f>
        <v>CD19</v>
      </c>
      <c r="F14" s="403">
        <f ca="1">'Population Estimator Tool'!F19</f>
        <v>1365.5250000000001</v>
      </c>
      <c r="G14" s="403">
        <f ca="1">'Population Estimator Tool'!G19</f>
        <v>0</v>
      </c>
      <c r="H14" s="136"/>
      <c r="I14" s="136"/>
      <c r="J14" s="140"/>
      <c r="K14" s="140"/>
      <c r="L14" s="140"/>
      <c r="M14" s="140"/>
      <c r="N14" s="133"/>
      <c r="O14" s="133"/>
    </row>
    <row r="15" spans="1:16" ht="31.5" customHeight="1">
      <c r="A15" s="266"/>
      <c r="B15" s="136"/>
      <c r="C15" s="181"/>
      <c r="D15" s="181"/>
      <c r="E15" s="136"/>
      <c r="F15" s="388" t="str">
        <f>CONCATENATE("Incidence - 
"&amp;$E$16)</f>
        <v>Incidence - 
Medicaid</v>
      </c>
      <c r="G15" s="388" t="str">
        <f>CONCATENATE("Prevalence - 
"&amp;$E$16)</f>
        <v>Prevalence - 
Medicaid</v>
      </c>
      <c r="H15" s="136"/>
      <c r="I15" s="136"/>
      <c r="J15" s="140"/>
      <c r="K15" s="140"/>
      <c r="L15" s="140"/>
      <c r="M15" s="140"/>
      <c r="N15" s="133"/>
      <c r="O15" s="133"/>
    </row>
    <row r="16" spans="1:16" ht="15" customHeight="1">
      <c r="C16" s="284"/>
      <c r="D16" s="266" t="s">
        <v>2413</v>
      </c>
      <c r="E16" s="136" t="str">
        <f>+'Population Estimator Tool'!B37</f>
        <v>Medicaid</v>
      </c>
      <c r="F16" s="403">
        <f ca="1">'Population Estimator Tool'!F37</f>
        <v>208.63390028118317</v>
      </c>
      <c r="G16" s="403">
        <f ca="1">'Population Estimator Tool'!G37</f>
        <v>0</v>
      </c>
      <c r="H16" s="136"/>
      <c r="I16" s="136"/>
      <c r="J16" s="140"/>
      <c r="K16" s="140"/>
      <c r="L16" s="140"/>
      <c r="M16" s="140"/>
      <c r="N16" s="133"/>
      <c r="O16" s="133"/>
    </row>
    <row r="17" spans="1:15" ht="15" customHeight="1">
      <c r="A17" s="389"/>
      <c r="B17" s="136"/>
      <c r="C17" s="284"/>
      <c r="D17" s="515" t="s">
        <v>2415</v>
      </c>
      <c r="E17" s="515"/>
      <c r="F17" s="404">
        <f ca="1">'Population Estimator Tool'!F41</f>
        <v>0.29709348562646232</v>
      </c>
      <c r="G17" s="404">
        <f ca="1">'Population Estimator Tool'!G41</f>
        <v>0</v>
      </c>
      <c r="H17" s="136"/>
      <c r="I17" s="136"/>
      <c r="J17" s="140"/>
      <c r="K17" s="140"/>
      <c r="L17" s="140"/>
      <c r="M17" s="140"/>
      <c r="N17" s="133"/>
      <c r="O17" s="133"/>
    </row>
    <row r="18" spans="1:15" ht="15" customHeight="1">
      <c r="A18" s="266" t="s">
        <v>2414</v>
      </c>
      <c r="B18" s="405">
        <f>'Population Estimator Tool'!B47</f>
        <v>130000</v>
      </c>
      <c r="C18" s="284"/>
      <c r="D18" s="284"/>
      <c r="E18" s="148" t="s">
        <v>2420</v>
      </c>
      <c r="F18" s="282">
        <f ca="1">'Population Estimator Tool'!F47</f>
        <v>0.38622153131440101</v>
      </c>
      <c r="G18" s="282">
        <f ca="1">'Population Estimator Tool'!G47</f>
        <v>0</v>
      </c>
      <c r="H18" s="136"/>
      <c r="I18" s="136"/>
      <c r="J18" s="140"/>
      <c r="K18" s="140"/>
      <c r="L18" s="140"/>
      <c r="M18" s="140"/>
      <c r="N18" s="133"/>
      <c r="O18" s="133"/>
    </row>
    <row r="19" spans="1:15" ht="14.5" customHeight="1">
      <c r="A19" s="283"/>
      <c r="B19" s="136"/>
      <c r="C19" s="284"/>
      <c r="D19" s="284"/>
      <c r="H19" s="136"/>
      <c r="I19" s="136"/>
      <c r="J19" s="140"/>
      <c r="K19" s="140"/>
      <c r="L19" s="140"/>
      <c r="M19" s="140"/>
      <c r="N19" s="133"/>
      <c r="O19" s="133"/>
    </row>
    <row r="20" spans="1:15" ht="18" customHeight="1">
      <c r="A20" s="135"/>
      <c r="B20" s="516" t="s">
        <v>1571</v>
      </c>
      <c r="C20" s="517"/>
      <c r="D20" s="440"/>
      <c r="E20" s="440"/>
      <c r="F20" s="440"/>
      <c r="G20" s="440"/>
      <c r="H20" s="441"/>
      <c r="I20" s="438"/>
      <c r="J20" s="136"/>
    </row>
    <row r="21" spans="1:15" ht="14.25" customHeight="1">
      <c r="A21" s="285"/>
      <c r="B21" s="285"/>
      <c r="C21" s="285"/>
      <c r="D21" s="285"/>
      <c r="E21" s="285"/>
      <c r="F21" s="271"/>
      <c r="I21" s="136"/>
      <c r="J21" s="136"/>
    </row>
    <row r="22" spans="1:15" ht="14.25" customHeight="1">
      <c r="A22" s="286" t="s">
        <v>2386</v>
      </c>
      <c r="B22" s="285"/>
      <c r="C22" s="285"/>
      <c r="D22" s="285"/>
      <c r="E22" s="285"/>
      <c r="F22" s="271"/>
      <c r="I22" s="136"/>
      <c r="J22" s="136"/>
      <c r="M22" s="136"/>
    </row>
    <row r="23" spans="1:15" ht="14.25" customHeight="1">
      <c r="A23" s="285"/>
      <c r="B23" s="285"/>
      <c r="C23" s="285"/>
      <c r="D23" s="285"/>
      <c r="E23" s="285"/>
      <c r="F23" s="271"/>
      <c r="I23" s="136"/>
      <c r="J23" s="136"/>
      <c r="M23" s="136"/>
    </row>
    <row r="24" spans="1:15" ht="14.25" customHeight="1">
      <c r="A24" s="287" t="s">
        <v>1572</v>
      </c>
      <c r="B24" s="285"/>
      <c r="C24" s="285"/>
      <c r="D24" s="285"/>
      <c r="E24" s="285"/>
      <c r="F24" s="271"/>
      <c r="I24" s="136"/>
      <c r="J24" s="136"/>
      <c r="M24" s="136"/>
    </row>
    <row r="25" spans="1:15" ht="14.25" customHeight="1">
      <c r="A25" s="126" t="s">
        <v>2431</v>
      </c>
      <c r="B25" s="271"/>
      <c r="C25" s="271"/>
      <c r="D25" s="271"/>
      <c r="E25" s="385"/>
      <c r="F25" s="271"/>
      <c r="M25" s="136"/>
    </row>
    <row r="26" spans="1:15" ht="14.25" customHeight="1">
      <c r="B26" s="271"/>
      <c r="C26" s="271"/>
      <c r="D26" s="271"/>
      <c r="E26" s="401"/>
      <c r="F26" s="271"/>
      <c r="M26" s="136"/>
    </row>
    <row r="27" spans="1:15" ht="19.5" customHeight="1">
      <c r="A27" s="256" t="s">
        <v>2387</v>
      </c>
      <c r="B27" s="271"/>
      <c r="C27" s="271"/>
      <c r="D27" s="271"/>
      <c r="E27" s="401"/>
      <c r="F27" s="271"/>
      <c r="M27" s="136"/>
    </row>
    <row r="28" spans="1:15" ht="13.5" customHeight="1">
      <c r="B28" s="271"/>
      <c r="C28" s="271"/>
      <c r="D28" s="271"/>
      <c r="E28" s="385"/>
      <c r="F28" s="271"/>
      <c r="M28" s="136"/>
    </row>
    <row r="29" spans="1:15" ht="29.5" customHeight="1">
      <c r="A29" s="506" t="s">
        <v>1573</v>
      </c>
      <c r="B29" s="387" t="s">
        <v>332</v>
      </c>
      <c r="C29" s="507" t="s">
        <v>333</v>
      </c>
      <c r="D29" s="507"/>
      <c r="F29" s="271"/>
      <c r="G29" s="291"/>
      <c r="H29" s="133"/>
    </row>
    <row r="30" spans="1:15">
      <c r="A30" s="506"/>
      <c r="B30" s="64">
        <v>0.85</v>
      </c>
      <c r="C30" s="508">
        <v>0.5</v>
      </c>
      <c r="D30" s="509"/>
      <c r="F30" s="444"/>
      <c r="G30" s="445"/>
    </row>
    <row r="31" spans="1:15">
      <c r="A31" s="136"/>
      <c r="F31" s="512" t="s">
        <v>2448</v>
      </c>
      <c r="G31" s="512" t="s">
        <v>2447</v>
      </c>
    </row>
    <row r="32" spans="1:15" ht="32">
      <c r="B32" s="387" t="s">
        <v>1537</v>
      </c>
      <c r="C32" s="506" t="s">
        <v>1536</v>
      </c>
      <c r="D32" s="518"/>
      <c r="F32" s="513"/>
      <c r="G32" s="513"/>
    </row>
    <row r="33" spans="1:13">
      <c r="B33" s="463">
        <f ca="1">+F18*B30</f>
        <v>0.32828830161724087</v>
      </c>
      <c r="C33" s="537">
        <f ca="1">+C30*G18</f>
        <v>0</v>
      </c>
      <c r="D33" s="537" t="e">
        <f>#REF!*D30</f>
        <v>#REF!</v>
      </c>
      <c r="F33" s="442">
        <f ca="1">+F17*B30</f>
        <v>0.25252946278249294</v>
      </c>
      <c r="G33" s="443">
        <f ca="1">+G17*C30</f>
        <v>0</v>
      </c>
    </row>
    <row r="34" spans="1:13">
      <c r="A34" s="417"/>
      <c r="B34" s="291"/>
      <c r="C34" s="291"/>
      <c r="D34" s="136"/>
      <c r="E34" s="136"/>
      <c r="F34" s="136"/>
      <c r="G34" s="136"/>
    </row>
    <row r="35" spans="1:13" ht="14.25" customHeight="1">
      <c r="B35" s="271"/>
      <c r="C35" s="271"/>
      <c r="D35" s="271"/>
      <c r="E35" s="397"/>
      <c r="M35" s="136"/>
    </row>
    <row r="36" spans="1:13" ht="14.5" customHeight="1">
      <c r="C36" s="314" t="str">
        <f>C14</f>
        <v>Cancer, leukaemia, acute lymphocytic</v>
      </c>
      <c r="E36" s="314" t="str">
        <f>E14</f>
        <v>CD19</v>
      </c>
      <c r="F36" s="271"/>
      <c r="M36" s="136"/>
    </row>
    <row r="37" spans="1:13" ht="14.5" customHeight="1">
      <c r="B37" s="271"/>
      <c r="C37" s="271"/>
      <c r="D37" s="289"/>
      <c r="E37" s="385"/>
      <c r="H37" s="136"/>
      <c r="J37" s="136"/>
    </row>
    <row r="38" spans="1:13" ht="14.5" customHeight="1">
      <c r="A38" s="398"/>
      <c r="B38" s="503" t="s">
        <v>2235</v>
      </c>
      <c r="C38" s="503" t="s">
        <v>2234</v>
      </c>
      <c r="D38" s="531" t="s">
        <v>2256</v>
      </c>
      <c r="E38" s="505" t="s">
        <v>2416</v>
      </c>
      <c r="F38" s="535" t="s">
        <v>2378</v>
      </c>
      <c r="I38" s="136"/>
      <c r="J38" s="136"/>
      <c r="K38" s="136"/>
    </row>
    <row r="39" spans="1:13" ht="14.5" customHeight="1">
      <c r="A39" s="398"/>
      <c r="B39" s="504"/>
      <c r="C39" s="504"/>
      <c r="D39" s="504"/>
      <c r="E39" s="505"/>
      <c r="F39" s="536"/>
      <c r="I39" s="136"/>
      <c r="J39" s="136"/>
      <c r="K39" s="136"/>
    </row>
    <row r="40" spans="1:13" ht="14.5" customHeight="1">
      <c r="A40" s="398"/>
      <c r="B40" s="525" t="str">
        <f>IFERROR(INDEX('Disease - Adoption Data'!B:B,MATCH($C$14,'Disease - Adoption Data'!$A:$A,0),1),'Hidden Drop Down Lists'!L4)</f>
        <v>The degree of variability in patient demographic and disease profiles ​nullifies the ability to use the market penetration concepts applied in gene therapy for this indication.</v>
      </c>
      <c r="C40" s="525" t="str">
        <f>IFERROR(INDEX('Disease - Adoption Data'!C:C,MATCH($C$14,'Disease - Adoption Data'!$A:$A,0),1),"XX")</f>
        <v>XX</v>
      </c>
      <c r="D40" s="529" t="str">
        <f>IFERROR(INDEX('Disease - Adoption Data'!F:F,MATCH($C$14,'Disease - Adoption Data'!$A:$A,0),1),"XX")</f>
        <v>XX</v>
      </c>
      <c r="E40" s="526" t="str">
        <f>IFERROR(INDEX('Disease - Adoption Data'!G:G,MATCH($C$14,'Disease - Adoption Data'!$A:$A,0),1),"XX")</f>
        <v>XX</v>
      </c>
      <c r="F40" s="532" t="str">
        <f>IFERROR(INDEX('Disease - Adoption Data'!H:H,MATCH($C$14,'Disease - Adoption Data'!$A:$A,0),1),"XX")</f>
        <v>XX</v>
      </c>
      <c r="I40" s="136"/>
      <c r="J40" s="136"/>
      <c r="K40" s="136"/>
    </row>
    <row r="41" spans="1:13" ht="14.5" customHeight="1">
      <c r="A41" s="398"/>
      <c r="B41" s="482"/>
      <c r="C41" s="482"/>
      <c r="D41" s="530"/>
      <c r="E41" s="527"/>
      <c r="F41" s="533"/>
      <c r="I41" s="136"/>
      <c r="J41" s="136"/>
      <c r="K41" s="136"/>
    </row>
    <row r="42" spans="1:13" ht="14.5" customHeight="1">
      <c r="A42" s="398"/>
      <c r="B42" s="482"/>
      <c r="C42" s="482"/>
      <c r="D42" s="530"/>
      <c r="E42" s="527"/>
      <c r="F42" s="533"/>
      <c r="I42" s="136"/>
      <c r="J42" s="136"/>
      <c r="K42" s="136"/>
    </row>
    <row r="43" spans="1:13" ht="14.5" customHeight="1">
      <c r="A43" s="398"/>
      <c r="B43" s="482"/>
      <c r="C43" s="482"/>
      <c r="D43" s="530"/>
      <c r="E43" s="527"/>
      <c r="F43" s="533"/>
      <c r="I43" s="136"/>
      <c r="J43" s="136"/>
      <c r="K43" s="136"/>
    </row>
    <row r="44" spans="1:13" ht="14.5" customHeight="1">
      <c r="A44" s="398"/>
      <c r="B44" s="482"/>
      <c r="C44" s="482"/>
      <c r="D44" s="530"/>
      <c r="E44" s="527"/>
      <c r="F44" s="533"/>
      <c r="I44" s="136"/>
      <c r="J44" s="136"/>
      <c r="K44" s="136"/>
    </row>
    <row r="45" spans="1:13" ht="14.5" customHeight="1">
      <c r="A45" s="398"/>
      <c r="B45" s="482"/>
      <c r="C45" s="482"/>
      <c r="D45" s="530"/>
      <c r="E45" s="527"/>
      <c r="F45" s="533"/>
      <c r="I45" s="136"/>
      <c r="J45" s="136"/>
      <c r="K45" s="136"/>
    </row>
    <row r="46" spans="1:13" ht="14.5" customHeight="1">
      <c r="A46" s="398"/>
      <c r="B46" s="482"/>
      <c r="C46" s="482"/>
      <c r="D46" s="530"/>
      <c r="E46" s="527"/>
      <c r="F46" s="533"/>
      <c r="I46" s="136"/>
      <c r="J46" s="136"/>
      <c r="K46" s="136"/>
    </row>
    <row r="47" spans="1:13" ht="14.5" customHeight="1">
      <c r="A47" s="398"/>
      <c r="B47" s="482"/>
      <c r="C47" s="482"/>
      <c r="D47" s="530"/>
      <c r="E47" s="527"/>
      <c r="F47" s="533"/>
      <c r="I47" s="136"/>
      <c r="J47" s="136"/>
      <c r="K47" s="136"/>
    </row>
    <row r="48" spans="1:13" ht="16.5" customHeight="1">
      <c r="A48" s="398"/>
      <c r="B48" s="482"/>
      <c r="C48" s="482"/>
      <c r="D48" s="530"/>
      <c r="E48" s="527"/>
      <c r="F48" s="533"/>
      <c r="I48" s="136"/>
      <c r="J48" s="136"/>
      <c r="K48" s="136"/>
    </row>
    <row r="49" spans="1:14" ht="35.25" customHeight="1">
      <c r="A49" s="398"/>
      <c r="B49" s="482"/>
      <c r="C49" s="482"/>
      <c r="D49" s="530"/>
      <c r="E49" s="527"/>
      <c r="F49" s="533"/>
      <c r="I49" s="136"/>
      <c r="J49" s="136"/>
      <c r="K49" s="136"/>
    </row>
    <row r="50" spans="1:14" ht="14.5" customHeight="1">
      <c r="A50" s="229"/>
      <c r="B50" s="482"/>
      <c r="C50" s="482"/>
      <c r="D50" s="530"/>
      <c r="E50" s="528"/>
      <c r="F50" s="534"/>
      <c r="G50" s="293"/>
      <c r="H50" s="293"/>
      <c r="I50" s="136"/>
      <c r="L50" s="136"/>
      <c r="M50" s="136"/>
      <c r="N50" s="136"/>
    </row>
    <row r="51" spans="1:14" ht="14.5" customHeight="1">
      <c r="A51" s="311"/>
      <c r="B51" s="312"/>
      <c r="C51" s="313"/>
      <c r="D51" s="293"/>
      <c r="E51" s="394"/>
      <c r="F51" s="293"/>
      <c r="G51" s="293"/>
      <c r="H51" s="136"/>
      <c r="K51" s="136"/>
      <c r="L51" s="136"/>
      <c r="M51" s="136"/>
    </row>
    <row r="52" spans="1:14" ht="14.5" customHeight="1">
      <c r="B52" s="523" t="s">
        <v>1456</v>
      </c>
      <c r="C52" s="524"/>
      <c r="D52" s="86"/>
      <c r="E52" s="293"/>
      <c r="F52" s="293"/>
      <c r="G52" s="293"/>
      <c r="H52" s="136"/>
      <c r="K52" s="136"/>
      <c r="L52" s="136"/>
      <c r="M52" s="136"/>
    </row>
    <row r="53" spans="1:14" ht="17.25" customHeight="1">
      <c r="B53" s="288"/>
      <c r="C53" s="312"/>
      <c r="D53" s="313"/>
      <c r="E53" s="293"/>
      <c r="F53" s="293"/>
      <c r="G53" s="293"/>
      <c r="H53" s="136"/>
      <c r="K53" s="136"/>
      <c r="L53" s="136"/>
      <c r="M53" s="136"/>
    </row>
    <row r="54" spans="1:14" ht="15" customHeight="1">
      <c r="B54" s="228" t="s">
        <v>2388</v>
      </c>
      <c r="C54" s="312"/>
      <c r="D54" s="313"/>
      <c r="E54" s="293"/>
      <c r="F54" s="293"/>
      <c r="G54" s="293"/>
      <c r="H54" s="140"/>
      <c r="I54" s="136"/>
      <c r="J54" s="136"/>
      <c r="L54" s="136"/>
      <c r="M54" s="136"/>
    </row>
    <row r="55" spans="1:14" ht="15" customHeight="1">
      <c r="B55" s="228" t="s">
        <v>2389</v>
      </c>
      <c r="C55" s="391"/>
      <c r="D55" s="392"/>
      <c r="E55" s="393"/>
      <c r="F55" s="293"/>
      <c r="G55" s="293"/>
      <c r="H55" s="133"/>
      <c r="I55" s="140"/>
      <c r="J55" s="140"/>
    </row>
    <row r="56" spans="1:14" ht="15" customHeight="1">
      <c r="B56" s="510" t="s">
        <v>2432</v>
      </c>
      <c r="C56" s="510"/>
      <c r="D56" s="510"/>
      <c r="E56" s="510"/>
      <c r="F56" s="510"/>
      <c r="G56" s="293"/>
      <c r="H56" s="133"/>
      <c r="J56" s="136"/>
    </row>
    <row r="57" spans="1:14">
      <c r="A57" s="311"/>
      <c r="B57" s="391"/>
      <c r="C57" s="392"/>
      <c r="D57" s="393"/>
      <c r="E57" s="395"/>
      <c r="F57" s="293"/>
      <c r="G57" s="293"/>
      <c r="H57" s="133"/>
      <c r="J57" s="136"/>
    </row>
    <row r="58" spans="1:14" ht="15" customHeight="1">
      <c r="A58" s="439"/>
      <c r="B58" s="521" t="s">
        <v>1575</v>
      </c>
      <c r="C58" s="522"/>
      <c r="D58" s="439"/>
      <c r="E58" s="439"/>
      <c r="F58" s="439"/>
      <c r="G58" s="439"/>
      <c r="H58" s="441"/>
    </row>
    <row r="59" spans="1:14" ht="15" customHeight="1">
      <c r="A59" s="407"/>
      <c r="B59" s="407"/>
      <c r="C59" s="407"/>
      <c r="D59" s="407"/>
      <c r="E59" s="407"/>
      <c r="F59" s="407"/>
      <c r="G59" s="407"/>
      <c r="H59" s="406"/>
      <c r="I59" s="406"/>
      <c r="J59" s="406"/>
      <c r="K59" s="406"/>
      <c r="L59" s="136"/>
    </row>
    <row r="60" spans="1:14" s="133" customFormat="1" ht="15" customHeight="1">
      <c r="A60" s="211" t="s">
        <v>1576</v>
      </c>
      <c r="B60" s="136"/>
      <c r="C60" s="136"/>
      <c r="D60" s="136"/>
      <c r="E60" s="136"/>
      <c r="F60" s="136"/>
      <c r="G60" s="136"/>
      <c r="H60" s="406"/>
      <c r="I60" s="406"/>
      <c r="J60" s="406"/>
      <c r="K60" s="406"/>
      <c r="L60" s="140"/>
    </row>
    <row r="61" spans="1:14" ht="15" customHeight="1">
      <c r="A61" s="211"/>
      <c r="B61" s="136"/>
      <c r="C61" s="136"/>
      <c r="D61" s="136"/>
      <c r="E61" s="136"/>
      <c r="F61" s="136"/>
      <c r="G61" s="136"/>
      <c r="H61" s="136"/>
      <c r="I61" s="136"/>
      <c r="J61" s="136"/>
      <c r="K61" s="140"/>
      <c r="L61" s="136"/>
    </row>
    <row r="62" spans="1:14" ht="14.25" customHeight="1">
      <c r="A62" s="213" t="s">
        <v>81</v>
      </c>
      <c r="B62" s="136"/>
      <c r="C62" s="136"/>
      <c r="D62" s="136"/>
      <c r="E62" s="136"/>
      <c r="F62" s="136"/>
      <c r="G62" s="136"/>
      <c r="H62" s="136"/>
      <c r="I62" s="136"/>
      <c r="J62" s="136"/>
      <c r="K62" s="136"/>
      <c r="L62" s="136"/>
      <c r="M62" s="136"/>
    </row>
    <row r="63" spans="1:14" ht="14.25" customHeight="1">
      <c r="A63" s="213"/>
      <c r="B63" s="136"/>
      <c r="C63" s="136"/>
      <c r="D63" s="136"/>
      <c r="E63" s="136"/>
      <c r="F63" s="136"/>
      <c r="G63" s="136"/>
      <c r="H63" s="136"/>
      <c r="I63" s="136"/>
      <c r="J63" s="136"/>
      <c r="K63" s="136"/>
      <c r="L63" s="136"/>
      <c r="M63" s="136"/>
    </row>
    <row r="64" spans="1:14" ht="15" customHeight="1">
      <c r="A64" s="212" t="s">
        <v>2417</v>
      </c>
      <c r="B64" s="140"/>
      <c r="C64" s="136"/>
      <c r="D64" s="136"/>
      <c r="E64" s="136"/>
      <c r="F64" s="136"/>
      <c r="G64" s="136"/>
      <c r="H64" s="136"/>
      <c r="I64" s="136"/>
      <c r="J64" s="136"/>
      <c r="K64" s="136"/>
      <c r="L64" s="136"/>
    </row>
    <row r="65" spans="1:15" ht="15" customHeight="1">
      <c r="A65" s="212" t="s">
        <v>2418</v>
      </c>
      <c r="B65" s="140"/>
      <c r="C65" s="136"/>
      <c r="D65" s="136"/>
      <c r="E65" s="136"/>
      <c r="F65" s="136"/>
      <c r="G65" s="136"/>
      <c r="H65" s="136"/>
      <c r="I65" s="136"/>
      <c r="J65" s="136"/>
      <c r="K65" s="136"/>
      <c r="L65" s="136"/>
    </row>
    <row r="66" spans="1:15" ht="41" customHeight="1">
      <c r="A66" s="212"/>
      <c r="B66" s="511" t="s">
        <v>2424</v>
      </c>
      <c r="C66" s="511"/>
      <c r="D66" s="511"/>
      <c r="E66" s="136"/>
      <c r="F66" s="136"/>
      <c r="G66" s="136"/>
      <c r="H66" s="136"/>
      <c r="I66" s="136"/>
      <c r="J66" s="136"/>
      <c r="K66" s="136"/>
      <c r="L66" s="136"/>
    </row>
    <row r="67" spans="1:15" s="133" customFormat="1" ht="14.5" customHeight="1">
      <c r="A67" s="446" t="s">
        <v>459</v>
      </c>
      <c r="B67" s="414" t="s">
        <v>2419</v>
      </c>
      <c r="C67" s="506" t="s">
        <v>2421</v>
      </c>
      <c r="D67" s="506"/>
      <c r="E67" s="136"/>
      <c r="F67" s="232" t="s">
        <v>2449</v>
      </c>
      <c r="G67" s="140"/>
      <c r="H67" s="136"/>
      <c r="I67" s="136"/>
      <c r="J67" s="136"/>
      <c r="K67" s="136"/>
      <c r="L67" s="136"/>
    </row>
    <row r="68" spans="1:15" s="133" customFormat="1" ht="14.5" customHeight="1">
      <c r="A68" s="420" t="s">
        <v>78</v>
      </c>
      <c r="B68" s="233">
        <f ca="1">+F33</f>
        <v>0.25252946278249294</v>
      </c>
      <c r="C68" s="502">
        <f ca="1">+B33</f>
        <v>0.32828830161724087</v>
      </c>
      <c r="D68" s="502"/>
      <c r="E68" s="419" t="s">
        <v>80</v>
      </c>
      <c r="F68" s="54"/>
      <c r="G68" s="136"/>
      <c r="H68" s="140"/>
      <c r="I68" s="140"/>
      <c r="J68" s="140"/>
      <c r="K68" s="136"/>
      <c r="L68" s="140"/>
      <c r="M68" s="126"/>
    </row>
    <row r="69" spans="1:15" s="133" customFormat="1" ht="14.5" customHeight="1">
      <c r="A69" s="420" t="s">
        <v>79</v>
      </c>
      <c r="B69" s="235">
        <f ca="1">+G33</f>
        <v>0</v>
      </c>
      <c r="C69" s="502">
        <f ca="1">+C33</f>
        <v>0</v>
      </c>
      <c r="D69" s="502"/>
      <c r="E69" s="419" t="s">
        <v>2427</v>
      </c>
      <c r="F69" s="55"/>
      <c r="H69" s="136"/>
      <c r="I69" s="136"/>
      <c r="J69" s="136"/>
      <c r="K69" s="140"/>
      <c r="L69" s="136"/>
      <c r="M69" s="126"/>
    </row>
    <row r="70" spans="1:15" s="133" customFormat="1" ht="14.25" customHeight="1">
      <c r="B70" s="236"/>
      <c r="D70" s="136"/>
      <c r="H70" s="136"/>
      <c r="I70" s="136"/>
      <c r="J70" s="136"/>
      <c r="K70" s="136"/>
      <c r="L70" s="136"/>
      <c r="M70" s="126"/>
    </row>
    <row r="71" spans="1:15" s="133" customFormat="1" ht="14.25" customHeight="1">
      <c r="A71" s="447" t="s">
        <v>2446</v>
      </c>
      <c r="B71" s="136"/>
      <c r="C71" s="234"/>
      <c r="D71" s="136"/>
      <c r="E71" s="136"/>
      <c r="F71" s="136"/>
      <c r="G71" s="136"/>
      <c r="H71" s="136"/>
      <c r="I71" s="386"/>
      <c r="J71" s="136"/>
      <c r="K71" s="136"/>
      <c r="L71" s="136"/>
      <c r="M71" s="126"/>
      <c r="N71" s="126"/>
      <c r="O71" s="126"/>
    </row>
    <row r="72" spans="1:15" ht="14.25" customHeight="1">
      <c r="A72" s="126" t="s">
        <v>2433</v>
      </c>
      <c r="B72" s="136"/>
      <c r="C72" s="237"/>
      <c r="D72" s="136"/>
      <c r="E72" s="136"/>
      <c r="F72" s="136"/>
      <c r="G72" s="136"/>
      <c r="H72" s="136"/>
      <c r="I72" s="136"/>
      <c r="J72" s="136"/>
      <c r="K72" s="136"/>
      <c r="L72" s="136"/>
    </row>
    <row r="73" spans="1:15" ht="16" customHeight="1">
      <c r="A73" s="212" t="s">
        <v>2428</v>
      </c>
      <c r="B73" s="136"/>
      <c r="C73" s="237"/>
      <c r="D73" s="136"/>
      <c r="E73" s="136"/>
      <c r="F73" s="136"/>
      <c r="G73" s="136"/>
      <c r="H73" s="136"/>
      <c r="I73" s="136"/>
      <c r="J73" s="136"/>
      <c r="K73" s="136"/>
      <c r="L73" s="136"/>
    </row>
    <row r="74" spans="1:15" ht="14.25" customHeight="1">
      <c r="A74" s="223"/>
      <c r="B74" s="136"/>
      <c r="C74" s="237"/>
      <c r="D74" s="136"/>
      <c r="E74" s="136"/>
      <c r="F74" s="136"/>
      <c r="G74" s="136"/>
      <c r="H74" s="136"/>
      <c r="I74" s="136"/>
      <c r="J74" s="136"/>
      <c r="K74" s="136"/>
      <c r="L74" s="136"/>
    </row>
    <row r="75" spans="1:15" ht="14.25" customHeight="1">
      <c r="A75" s="212" t="s">
        <v>2434</v>
      </c>
      <c r="B75" s="451" t="s">
        <v>89</v>
      </c>
      <c r="C75" s="237"/>
      <c r="D75" s="136"/>
      <c r="E75" s="136"/>
      <c r="F75" s="136"/>
      <c r="G75" s="136"/>
      <c r="H75" s="136"/>
      <c r="I75" s="136"/>
      <c r="J75" s="136"/>
      <c r="K75" s="136"/>
      <c r="L75" s="136"/>
    </row>
    <row r="76" spans="1:15" ht="14.5" customHeight="1">
      <c r="A76" s="223"/>
      <c r="B76" s="136"/>
      <c r="C76" s="237"/>
      <c r="D76" s="136"/>
      <c r="E76" s="136"/>
      <c r="F76" s="136"/>
      <c r="G76" s="136"/>
      <c r="H76" s="136"/>
      <c r="I76" s="136"/>
      <c r="J76" s="136"/>
      <c r="K76" s="136"/>
      <c r="L76" s="136"/>
    </row>
    <row r="77" spans="1:15" ht="13.5" customHeight="1">
      <c r="A77" s="223"/>
      <c r="B77" s="408">
        <f ca="1">IF('Therapy Impact Modeling Tool'!$B$41="No",'Therapy Impact Modeling Tool'!$B$43,YEAR(TODAY()))</f>
        <v>2022</v>
      </c>
      <c r="C77" s="408">
        <f ca="1">B77+1</f>
        <v>2023</v>
      </c>
      <c r="D77" s="408">
        <f ca="1">C77+1</f>
        <v>2024</v>
      </c>
      <c r="E77" s="408">
        <f t="shared" ref="E77" ca="1" si="0">D77+1</f>
        <v>2025</v>
      </c>
      <c r="F77" s="408">
        <f ca="1">E77+1</f>
        <v>2026</v>
      </c>
      <c r="G77" s="408">
        <f t="shared" ref="G77" ca="1" si="1">F77+1</f>
        <v>2027</v>
      </c>
      <c r="H77" s="408">
        <f ca="1">G77+1</f>
        <v>2028</v>
      </c>
      <c r="I77" s="408">
        <f ca="1">H77+1</f>
        <v>2029</v>
      </c>
      <c r="J77" s="408">
        <f t="shared" ref="J77" ca="1" si="2">I77+1</f>
        <v>2030</v>
      </c>
      <c r="K77" s="408">
        <f ca="1">J77+1</f>
        <v>2031</v>
      </c>
      <c r="L77" s="136"/>
    </row>
    <row r="78" spans="1:15" ht="14" customHeight="1">
      <c r="A78" s="223" t="s">
        <v>2435</v>
      </c>
      <c r="B78" s="56">
        <v>0.6</v>
      </c>
      <c r="C78" s="56">
        <v>0.75</v>
      </c>
      <c r="D78" s="56">
        <v>0.8</v>
      </c>
      <c r="E78" s="56">
        <v>1</v>
      </c>
      <c r="F78" s="56">
        <v>1</v>
      </c>
      <c r="G78" s="56">
        <v>1</v>
      </c>
      <c r="H78" s="56">
        <v>1</v>
      </c>
      <c r="I78" s="56">
        <v>1</v>
      </c>
      <c r="J78" s="56">
        <v>1</v>
      </c>
      <c r="K78" s="56">
        <v>1</v>
      </c>
      <c r="L78" s="136"/>
    </row>
    <row r="79" spans="1:15" ht="14.25" customHeight="1">
      <c r="A79" s="223"/>
      <c r="B79" s="216" t="s">
        <v>2442</v>
      </c>
      <c r="C79" s="237"/>
      <c r="D79" s="136"/>
      <c r="E79" s="136"/>
      <c r="F79" s="136"/>
      <c r="G79" s="136"/>
      <c r="H79" s="136"/>
      <c r="I79" s="136"/>
      <c r="J79" s="136"/>
      <c r="K79" s="136"/>
      <c r="L79" s="136"/>
    </row>
    <row r="80" spans="1:15" ht="14.25" customHeight="1">
      <c r="A80" s="223"/>
      <c r="B80" s="136"/>
      <c r="C80" s="237"/>
      <c r="D80" s="136"/>
      <c r="E80" s="136"/>
      <c r="F80" s="136"/>
      <c r="G80" s="136"/>
      <c r="H80" s="136"/>
      <c r="I80" s="136"/>
      <c r="J80" s="136"/>
      <c r="K80" s="136"/>
      <c r="L80" s="136"/>
    </row>
    <row r="81" spans="1:13" ht="14.25" customHeight="1">
      <c r="A81" s="223"/>
      <c r="B81" s="136"/>
      <c r="C81" s="237"/>
      <c r="D81" s="136"/>
      <c r="E81" s="136"/>
      <c r="F81" s="136"/>
      <c r="G81" s="136"/>
      <c r="H81" s="136"/>
      <c r="I81" s="136"/>
      <c r="J81" s="136"/>
      <c r="K81" s="136"/>
      <c r="L81" s="136"/>
    </row>
    <row r="82" spans="1:13">
      <c r="A82" s="223" t="s">
        <v>2436</v>
      </c>
      <c r="B82" s="451">
        <v>5</v>
      </c>
      <c r="C82" s="136" t="s">
        <v>2439</v>
      </c>
      <c r="E82" s="136"/>
      <c r="F82" s="136"/>
      <c r="G82" s="136"/>
      <c r="H82" s="136"/>
      <c r="I82" s="136"/>
      <c r="J82" s="136"/>
      <c r="K82" s="136"/>
      <c r="L82" s="136"/>
    </row>
    <row r="83" spans="1:13">
      <c r="A83" s="223"/>
      <c r="B83" s="136"/>
      <c r="C83" s="237"/>
      <c r="D83" s="136"/>
      <c r="E83" s="136"/>
      <c r="F83" s="136"/>
      <c r="G83" s="136"/>
      <c r="H83" s="136"/>
      <c r="I83" s="136"/>
      <c r="J83" s="136"/>
      <c r="K83" s="136"/>
      <c r="L83" s="136"/>
    </row>
    <row r="84" spans="1:13">
      <c r="A84" s="223"/>
      <c r="B84" s="408">
        <f ca="1">B77</f>
        <v>2022</v>
      </c>
      <c r="C84" s="408">
        <f ca="1">B84+1</f>
        <v>2023</v>
      </c>
      <c r="D84" s="408">
        <f ca="1">C84+1</f>
        <v>2024</v>
      </c>
      <c r="E84" s="408">
        <f t="shared" ref="E84" ca="1" si="3">D84+1</f>
        <v>2025</v>
      </c>
      <c r="F84" s="408">
        <f ca="1">E84+1</f>
        <v>2026</v>
      </c>
      <c r="G84" s="408">
        <f t="shared" ref="G84" ca="1" si="4">F84+1</f>
        <v>2027</v>
      </c>
      <c r="H84" s="408">
        <f ca="1">G84+1</f>
        <v>2028</v>
      </c>
      <c r="I84" s="408">
        <f ca="1">H84+1</f>
        <v>2029</v>
      </c>
      <c r="J84" s="408">
        <f t="shared" ref="J84" ca="1" si="5">I84+1</f>
        <v>2030</v>
      </c>
      <c r="K84" s="408">
        <f ca="1">J84+1</f>
        <v>2031</v>
      </c>
      <c r="L84" s="136"/>
    </row>
    <row r="85" spans="1:13" ht="14.5" customHeight="1">
      <c r="A85" s="223" t="s">
        <v>2459</v>
      </c>
      <c r="B85" s="425">
        <f>IF($B$75="Yes",1,1/$B$82)</f>
        <v>0.2</v>
      </c>
      <c r="C85" s="425">
        <f t="shared" ref="C85:K85" ca="1" si="6">IF($B$75="Yes",1,IF(B85=1,1,1/($B$82-(C91-$B$91))))</f>
        <v>0.25</v>
      </c>
      <c r="D85" s="425">
        <f t="shared" ca="1" si="6"/>
        <v>0.33333333333333331</v>
      </c>
      <c r="E85" s="425">
        <f t="shared" ca="1" si="6"/>
        <v>0.5</v>
      </c>
      <c r="F85" s="425">
        <f t="shared" ca="1" si="6"/>
        <v>1</v>
      </c>
      <c r="G85" s="425">
        <f t="shared" ca="1" si="6"/>
        <v>1</v>
      </c>
      <c r="H85" s="425">
        <f t="shared" ca="1" si="6"/>
        <v>1</v>
      </c>
      <c r="I85" s="425">
        <f t="shared" ca="1" si="6"/>
        <v>1</v>
      </c>
      <c r="J85" s="425">
        <f t="shared" ca="1" si="6"/>
        <v>1</v>
      </c>
      <c r="K85" s="425">
        <f t="shared" ca="1" si="6"/>
        <v>1</v>
      </c>
      <c r="L85" s="136"/>
      <c r="M85" s="136"/>
    </row>
    <row r="86" spans="1:13" ht="15" customHeight="1">
      <c r="A86" s="399"/>
      <c r="B86" s="413"/>
      <c r="F86" s="413"/>
      <c r="G86" s="413"/>
      <c r="H86" s="413"/>
      <c r="I86" s="136"/>
      <c r="J86" s="136"/>
      <c r="K86" s="136"/>
      <c r="L86" s="136"/>
      <c r="M86" s="136"/>
    </row>
    <row r="87" spans="1:13" ht="14.5" customHeight="1">
      <c r="A87" s="410" t="s">
        <v>2443</v>
      </c>
      <c r="B87" s="424">
        <v>0.9</v>
      </c>
      <c r="C87" s="290" t="s">
        <v>2444</v>
      </c>
      <c r="D87" s="421"/>
      <c r="G87" s="409"/>
      <c r="H87" s="413"/>
      <c r="I87" s="136"/>
      <c r="J87" s="136"/>
      <c r="K87" s="136"/>
      <c r="L87" s="136"/>
    </row>
    <row r="88" spans="1:13">
      <c r="A88" s="411"/>
      <c r="B88" s="426"/>
      <c r="C88" s="421"/>
      <c r="D88" s="421"/>
      <c r="G88" s="409"/>
      <c r="H88" s="413"/>
      <c r="I88" s="136"/>
      <c r="J88" s="136"/>
      <c r="K88" s="136"/>
    </row>
    <row r="89" spans="1:13" s="412" customFormat="1">
      <c r="A89" s="429" t="s">
        <v>2441</v>
      </c>
      <c r="B89" s="430"/>
      <c r="C89" s="431"/>
      <c r="D89" s="431"/>
      <c r="G89" s="432"/>
      <c r="H89" s="433"/>
      <c r="I89" s="190"/>
      <c r="J89" s="190"/>
      <c r="K89" s="190"/>
    </row>
    <row r="90" spans="1:13">
      <c r="A90" s="411"/>
      <c r="B90" s="426"/>
      <c r="C90" s="421"/>
      <c r="D90" s="421"/>
      <c r="G90" s="409"/>
      <c r="H90" s="413"/>
      <c r="I90" s="136"/>
      <c r="J90" s="136"/>
      <c r="K90" s="136"/>
    </row>
    <row r="91" spans="1:13">
      <c r="A91" s="411"/>
      <c r="B91" s="408">
        <f ca="1">B77</f>
        <v>2022</v>
      </c>
      <c r="C91" s="408">
        <f ca="1">B91+1</f>
        <v>2023</v>
      </c>
      <c r="D91" s="408">
        <f ca="1">C91+1</f>
        <v>2024</v>
      </c>
      <c r="E91" s="408">
        <f t="shared" ref="E91:J91" ca="1" si="7">D91+1</f>
        <v>2025</v>
      </c>
      <c r="F91" s="408">
        <f ca="1">E91+1</f>
        <v>2026</v>
      </c>
      <c r="G91" s="408">
        <f t="shared" ca="1" si="7"/>
        <v>2027</v>
      </c>
      <c r="H91" s="408">
        <f ca="1">G91+1</f>
        <v>2028</v>
      </c>
      <c r="I91" s="408">
        <f ca="1">H91+1</f>
        <v>2029</v>
      </c>
      <c r="J91" s="408">
        <f t="shared" ca="1" si="7"/>
        <v>2030</v>
      </c>
      <c r="K91" s="408">
        <f ca="1">J91+1</f>
        <v>2031</v>
      </c>
    </row>
    <row r="92" spans="1:13">
      <c r="A92" s="223" t="s">
        <v>2440</v>
      </c>
      <c r="B92" s="427">
        <f ca="1">Calculations!C19</f>
        <v>0</v>
      </c>
      <c r="C92" s="427">
        <f ca="1">Calculations!D19</f>
        <v>0</v>
      </c>
      <c r="D92" s="427">
        <f ca="1">Calculations!E19</f>
        <v>0</v>
      </c>
      <c r="E92" s="427">
        <f ca="1">Calculations!F19</f>
        <v>0</v>
      </c>
      <c r="F92" s="427">
        <f ca="1">Calculations!G19</f>
        <v>0</v>
      </c>
      <c r="G92" s="427">
        <f ca="1">Calculations!H19</f>
        <v>0</v>
      </c>
      <c r="H92" s="427">
        <f ca="1">Calculations!I19</f>
        <v>0</v>
      </c>
      <c r="I92" s="427">
        <f ca="1">Calculations!J19</f>
        <v>0</v>
      </c>
      <c r="J92" s="427">
        <f ca="1">Calculations!K19</f>
        <v>0</v>
      </c>
      <c r="K92" s="427">
        <f ca="1">Calculations!L19</f>
        <v>0</v>
      </c>
    </row>
    <row r="93" spans="1:13">
      <c r="A93" s="223" t="s">
        <v>2437</v>
      </c>
      <c r="B93" s="427">
        <f ca="1">Calculations!C17</f>
        <v>0</v>
      </c>
      <c r="C93" s="427">
        <f ca="1">Calculations!D17</f>
        <v>0</v>
      </c>
      <c r="D93" s="427">
        <f ca="1">Calculations!E17</f>
        <v>0</v>
      </c>
      <c r="E93" s="427">
        <f ca="1">Calculations!F17</f>
        <v>0</v>
      </c>
      <c r="F93" s="427">
        <f ca="1">Calculations!G17</f>
        <v>0</v>
      </c>
      <c r="G93" s="427">
        <f ca="1">Calculations!H17</f>
        <v>0</v>
      </c>
      <c r="H93" s="427">
        <f ca="1">Calculations!I17</f>
        <v>0</v>
      </c>
      <c r="I93" s="427">
        <f ca="1">Calculations!J17</f>
        <v>0</v>
      </c>
      <c r="J93" s="427">
        <f ca="1">Calculations!K17</f>
        <v>0</v>
      </c>
      <c r="K93" s="427">
        <f ca="1">Calculations!L17</f>
        <v>0</v>
      </c>
    </row>
    <row r="94" spans="1:13">
      <c r="A94" s="242" t="s">
        <v>2438</v>
      </c>
      <c r="B94" s="428">
        <f ca="1">+'Therapy Impact Modeling Tool'!B59</f>
        <v>0</v>
      </c>
      <c r="C94" s="428">
        <f ca="1">+'Therapy Impact Modeling Tool'!C59</f>
        <v>0</v>
      </c>
      <c r="D94" s="428">
        <f ca="1">+'Therapy Impact Modeling Tool'!D59</f>
        <v>0</v>
      </c>
      <c r="E94" s="428">
        <f ca="1">+'Therapy Impact Modeling Tool'!E59</f>
        <v>0</v>
      </c>
      <c r="F94" s="428">
        <f ca="1">+'Therapy Impact Modeling Tool'!F59</f>
        <v>0</v>
      </c>
      <c r="G94" s="428">
        <f ca="1">+'Therapy Impact Modeling Tool'!G59</f>
        <v>0</v>
      </c>
      <c r="H94" s="428">
        <f ca="1">+'Therapy Impact Modeling Tool'!H59</f>
        <v>0</v>
      </c>
      <c r="I94" s="428">
        <f ca="1">+'Therapy Impact Modeling Tool'!I59</f>
        <v>0</v>
      </c>
      <c r="J94" s="428">
        <f ca="1">+'Therapy Impact Modeling Tool'!J59</f>
        <v>0</v>
      </c>
      <c r="K94" s="428">
        <f ca="1">+'Therapy Impact Modeling Tool'!K59</f>
        <v>0</v>
      </c>
    </row>
  </sheetData>
  <sheetProtection algorithmName="SHA-512" hashValue="aMQEj3N7Wau6kpgSgNnGIGLgErHm85xrtA+QYCJXT+RABucE/mczsTDUc2j3KIvbnerY4EhWnJVzb/MbW4hS2g==" saltValue="LGD/lrZZ2z7KRU3WTplMCA==" spinCount="100000" sheet="1" objects="1" scenarios="1"/>
  <mergeCells count="33">
    <mergeCell ref="B1:C1"/>
    <mergeCell ref="B11:C11"/>
    <mergeCell ref="B58:C58"/>
    <mergeCell ref="B52:C52"/>
    <mergeCell ref="F31:F32"/>
    <mergeCell ref="B40:B50"/>
    <mergeCell ref="C40:C50"/>
    <mergeCell ref="E40:E50"/>
    <mergeCell ref="D40:D50"/>
    <mergeCell ref="B38:B39"/>
    <mergeCell ref="D38:D39"/>
    <mergeCell ref="F40:F50"/>
    <mergeCell ref="F38:F39"/>
    <mergeCell ref="C33:D33"/>
    <mergeCell ref="A10:H10"/>
    <mergeCell ref="G31:G32"/>
    <mergeCell ref="C13:D13"/>
    <mergeCell ref="C14:D14"/>
    <mergeCell ref="D17:E17"/>
    <mergeCell ref="F12:F13"/>
    <mergeCell ref="G12:G13"/>
    <mergeCell ref="B20:C20"/>
    <mergeCell ref="C32:D32"/>
    <mergeCell ref="C68:D68"/>
    <mergeCell ref="C69:D69"/>
    <mergeCell ref="C38:C39"/>
    <mergeCell ref="E38:E39"/>
    <mergeCell ref="A29:A30"/>
    <mergeCell ref="C29:D29"/>
    <mergeCell ref="C30:D30"/>
    <mergeCell ref="B56:F56"/>
    <mergeCell ref="C67:D67"/>
    <mergeCell ref="B66:D66"/>
  </mergeCells>
  <conditionalFormatting sqref="B78:K78">
    <cfRule type="expression" dxfId="17" priority="2">
      <formula>$B$75="Yes"</formula>
    </cfRule>
  </conditionalFormatting>
  <conditionalFormatting sqref="B82">
    <cfRule type="expression" dxfId="16" priority="1">
      <formula>$B$75="Yes"</formula>
    </cfRule>
  </conditionalFormatting>
  <hyperlinks>
    <hyperlink ref="A10:H10" r:id="rId1" display="Detailed instructions on completing  this worksheet tool may be found here:  Individual Indication Workbook background  " xr:uid="{5A8D502E-6DEE-1D46-A816-75CCA95C7CCB}"/>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A956AB9-1740-450F-80EA-94683E2CAAAF}">
          <x14:formula1>
            <xm:f>'Hidden Drop Down Lists'!$A$5:$A$6</xm:f>
          </x14:formula1>
          <xm:sqref>C57 B75 C51 D53:D55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Therapeutic Classes - Diseases</vt:lpstr>
      <vt:lpstr>Calculation</vt:lpstr>
      <vt:lpstr>Disease - Adoption Data</vt:lpstr>
      <vt:lpstr>Disease - complete</vt:lpstr>
      <vt:lpstr>Disease - Therapeutic Class</vt:lpstr>
      <vt:lpstr>Terms of Use</vt:lpstr>
      <vt:lpstr>Instructions</vt:lpstr>
      <vt:lpstr>Population Estimator Tool</vt:lpstr>
      <vt:lpstr>Market Adjustment Tool</vt:lpstr>
      <vt:lpstr>Therapy Impact Modeling Tool</vt:lpstr>
      <vt:lpstr>Sol'n Priorit Tool</vt:lpstr>
      <vt:lpstr>Hidden Drop Down Lists</vt:lpstr>
      <vt:lpstr>Hidden Logic page</vt:lpstr>
      <vt:lpstr>Hidden Sol'n Priorit. Table</vt:lpstr>
      <vt:lpstr>Calculations</vt:lpstr>
      <vt:lpstr>delta</vt:lpstr>
      <vt:lpstr>dult</vt:lpstr>
      <vt:lpstr>Instructions!Print_Area</vt:lpstr>
      <vt:lpstr>'Population Estimator Tool'!Print_Area</vt:lpstr>
      <vt:lpstr>'Sol''n Priorit Tool'!Print_Area</vt:lpstr>
      <vt:lpstr>'Terms of Use'!Print_Area</vt:lpstr>
      <vt:lpstr>'Therapy Impact Modeling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Rollmann</dc:creator>
  <cp:lastModifiedBy>Microsoft Office User</cp:lastModifiedBy>
  <cp:lastPrinted>2021-12-02T22:33:05Z</cp:lastPrinted>
  <dcterms:created xsi:type="dcterms:W3CDTF">2019-03-21T14:28:31Z</dcterms:created>
  <dcterms:modified xsi:type="dcterms:W3CDTF">2022-04-05T16:05:25Z</dcterms:modified>
</cp:coreProperties>
</file>